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14.206\03保険課\様式\保険料計算\"/>
    </mc:Choice>
  </mc:AlternateContent>
  <workbookProtection workbookAlgorithmName="SHA-512" workbookHashValue="FGpQriLOSgsymZ1EVAZKf58urEuHWMRALm6hnVjpPJJeVEm3p4wTmeP4k5kgj3DM9vcaoDQfgmvc3BV3ZqVeww==" workbookSaltValue="tnMENLAJMiouQorTzQ/TWQ==" workbookSpinCount="100000" lockStructure="1"/>
  <bookViews>
    <workbookView xWindow="0" yWindow="0" windowWidth="28800" windowHeight="9990"/>
  </bookViews>
  <sheets>
    <sheet name="保険料" sheetId="6" r:id="rId1"/>
    <sheet name="計算過程" sheetId="5" state="hidden" r:id="rId2"/>
    <sheet name="コンボシート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5" l="1"/>
  <c r="A18" i="5"/>
  <c r="AM10" i="5" l="1"/>
  <c r="AM11" i="5"/>
  <c r="AK10" i="5"/>
  <c r="AK11" i="5"/>
  <c r="I11" i="5"/>
  <c r="I10" i="5"/>
  <c r="I9" i="5"/>
  <c r="AJ10" i="5"/>
  <c r="AJ11" i="5"/>
  <c r="J5" i="5"/>
  <c r="AL4" i="5"/>
  <c r="AK4" i="5"/>
  <c r="AF4" i="5"/>
  <c r="AJ4" i="5"/>
  <c r="AM13" i="5"/>
  <c r="Z25" i="5"/>
  <c r="Z24" i="5"/>
  <c r="Z23" i="5"/>
  <c r="Z21" i="5"/>
  <c r="Z20" i="5"/>
  <c r="Z19" i="5"/>
  <c r="Y19" i="5"/>
  <c r="W19" i="5"/>
  <c r="A16" i="5" l="1"/>
  <c r="B5" i="5" l="1"/>
  <c r="O5" i="5" s="1"/>
  <c r="A27" i="5"/>
  <c r="A26" i="5"/>
  <c r="A25" i="5"/>
  <c r="A24" i="5"/>
  <c r="A23" i="5"/>
  <c r="A22" i="5"/>
  <c r="A21" i="5"/>
  <c r="A20" i="5"/>
  <c r="A19" i="5"/>
  <c r="A17" i="5"/>
  <c r="C6" i="5"/>
  <c r="C7" i="5"/>
  <c r="C8" i="5"/>
  <c r="C9" i="5"/>
  <c r="C10" i="5"/>
  <c r="C11" i="5"/>
  <c r="C5" i="5"/>
  <c r="C25" i="5" l="1"/>
  <c r="C26" i="5"/>
  <c r="D8" i="5"/>
  <c r="N8" i="5" s="1"/>
  <c r="G6" i="5"/>
  <c r="I6" i="5" s="1"/>
  <c r="G11" i="5"/>
  <c r="D7" i="5"/>
  <c r="N7" i="5" s="1"/>
  <c r="H11" i="5"/>
  <c r="D6" i="5"/>
  <c r="N6" i="5" s="1"/>
  <c r="D5" i="5"/>
  <c r="N5" i="5" s="1"/>
  <c r="E5" i="5"/>
  <c r="B19" i="5"/>
  <c r="B27" i="5"/>
  <c r="B20" i="5"/>
  <c r="D11" i="5"/>
  <c r="B22" i="5"/>
  <c r="H16" i="5"/>
  <c r="F18" i="5"/>
  <c r="B16" i="5"/>
  <c r="B21" i="5"/>
  <c r="B25" i="5"/>
  <c r="B18" i="5"/>
  <c r="B26" i="5"/>
  <c r="G22" i="5"/>
  <c r="B24" i="5"/>
  <c r="B17" i="5"/>
  <c r="F23" i="5"/>
  <c r="B23" i="5"/>
  <c r="H18" i="5"/>
  <c r="H23" i="5"/>
  <c r="F26" i="5"/>
  <c r="F21" i="5"/>
  <c r="F24" i="5"/>
  <c r="C23" i="5"/>
  <c r="C19" i="5"/>
  <c r="C21" i="5"/>
  <c r="C27" i="5"/>
  <c r="C18" i="5"/>
  <c r="C22" i="5"/>
  <c r="C16" i="5"/>
  <c r="C24" i="5"/>
  <c r="C20" i="5"/>
  <c r="C17" i="5"/>
  <c r="E11" i="5"/>
  <c r="E10" i="5"/>
  <c r="E9" i="5"/>
  <c r="E8" i="5"/>
  <c r="E7" i="5"/>
  <c r="H25" i="5"/>
  <c r="H20" i="5"/>
  <c r="H22" i="5"/>
  <c r="H17" i="5"/>
  <c r="H26" i="5"/>
  <c r="H19" i="5"/>
  <c r="H27" i="5"/>
  <c r="H24" i="5"/>
  <c r="H21" i="5"/>
  <c r="G27" i="5"/>
  <c r="G20" i="5"/>
  <c r="G18" i="5"/>
  <c r="G25" i="5"/>
  <c r="G23" i="5"/>
  <c r="G21" i="5"/>
  <c r="D10" i="5"/>
  <c r="N10" i="5" s="1"/>
  <c r="G19" i="5"/>
  <c r="G26" i="5"/>
  <c r="G17" i="5"/>
  <c r="G10" i="5"/>
  <c r="G16" i="5"/>
  <c r="G24" i="5"/>
  <c r="F25" i="5"/>
  <c r="F17" i="5"/>
  <c r="G9" i="5"/>
  <c r="F16" i="5"/>
  <c r="F20" i="5"/>
  <c r="D9" i="5"/>
  <c r="N9" i="5" s="1"/>
  <c r="F27" i="5"/>
  <c r="F19" i="5"/>
  <c r="F22" i="5"/>
  <c r="E27" i="5"/>
  <c r="E23" i="5"/>
  <c r="E19" i="5"/>
  <c r="G8" i="5"/>
  <c r="I8" i="5" s="1"/>
  <c r="E16" i="5"/>
  <c r="E17" i="5"/>
  <c r="E24" i="5"/>
  <c r="E20" i="5"/>
  <c r="E25" i="5"/>
  <c r="E21" i="5"/>
  <c r="E26" i="5"/>
  <c r="E22" i="5"/>
  <c r="E18" i="5"/>
  <c r="D22" i="5"/>
  <c r="D23" i="5"/>
  <c r="D24" i="5"/>
  <c r="D20" i="5"/>
  <c r="D21" i="5"/>
  <c r="D25" i="5"/>
  <c r="D17" i="5"/>
  <c r="D16" i="5"/>
  <c r="D26" i="5"/>
  <c r="D18" i="5"/>
  <c r="D27" i="5"/>
  <c r="D19" i="5"/>
  <c r="G5" i="5"/>
  <c r="I5" i="5" s="1"/>
  <c r="G7" i="5"/>
  <c r="I7" i="5" s="1"/>
  <c r="E6" i="5"/>
  <c r="L5" i="5"/>
  <c r="Y13" i="5"/>
  <c r="AC13" i="5"/>
  <c r="AH13" i="5"/>
  <c r="AG4" i="5"/>
  <c r="AB4" i="5"/>
  <c r="AA4" i="5"/>
  <c r="X4" i="5"/>
  <c r="W4" i="5"/>
  <c r="AE4" i="5"/>
  <c r="Z4" i="5"/>
  <c r="V4" i="5"/>
  <c r="K5" i="5"/>
  <c r="J6" i="5"/>
  <c r="K6" i="5"/>
  <c r="L6" i="5"/>
  <c r="J7" i="5"/>
  <c r="K7" i="5"/>
  <c r="L7" i="5"/>
  <c r="J8" i="5"/>
  <c r="K8" i="5"/>
  <c r="L8" i="5"/>
  <c r="J9" i="5"/>
  <c r="K9" i="5"/>
  <c r="L9" i="5"/>
  <c r="J10" i="5"/>
  <c r="K10" i="5"/>
  <c r="L10" i="5"/>
  <c r="J11" i="5"/>
  <c r="K11" i="5"/>
  <c r="L11" i="5"/>
  <c r="B6" i="5"/>
  <c r="O6" i="5" s="1"/>
  <c r="B7" i="5"/>
  <c r="B8" i="5"/>
  <c r="B9" i="5"/>
  <c r="B10" i="5"/>
  <c r="P10" i="5" s="1"/>
  <c r="B11" i="5"/>
  <c r="O11" i="5" s="1"/>
  <c r="Y25" i="5"/>
  <c r="W24" i="5"/>
  <c r="X24" i="5"/>
  <c r="Y24" i="5"/>
  <c r="W25" i="5"/>
  <c r="X25" i="5"/>
  <c r="X23" i="5"/>
  <c r="Y23" i="5"/>
  <c r="W23" i="5"/>
  <c r="W20" i="5"/>
  <c r="W21" i="5"/>
  <c r="X20" i="5"/>
  <c r="Y20" i="5"/>
  <c r="X21" i="5"/>
  <c r="Y21" i="5"/>
  <c r="X19" i="5"/>
  <c r="F7" i="5" l="1"/>
  <c r="AA11" i="5"/>
  <c r="H6" i="5"/>
  <c r="W11" i="5"/>
  <c r="N11" i="5"/>
  <c r="H5" i="5"/>
  <c r="H8" i="5"/>
  <c r="H9" i="5"/>
  <c r="H7" i="5"/>
  <c r="H10" i="5"/>
  <c r="U5" i="5"/>
  <c r="AJ5" i="5" s="1"/>
  <c r="F5" i="5"/>
  <c r="AD5" i="5" s="1"/>
  <c r="AD11" i="5"/>
  <c r="AF11" i="5" s="1"/>
  <c r="P6" i="5"/>
  <c r="F8" i="5"/>
  <c r="F11" i="5"/>
  <c r="F10" i="5"/>
  <c r="F9" i="5"/>
  <c r="F6" i="5"/>
  <c r="O9" i="5"/>
  <c r="P11" i="5"/>
  <c r="R8" i="5"/>
  <c r="S8" i="5" s="1"/>
  <c r="R10" i="5"/>
  <c r="S10" i="5" s="1"/>
  <c r="U11" i="5"/>
  <c r="Z11" i="5" s="1"/>
  <c r="F28" i="6" s="1"/>
  <c r="R11" i="5"/>
  <c r="S11" i="5" s="1"/>
  <c r="R9" i="5"/>
  <c r="S9" i="5" s="1"/>
  <c r="O10" i="5"/>
  <c r="Q11" i="5"/>
  <c r="R7" i="5"/>
  <c r="S7" i="5" s="1"/>
  <c r="R6" i="5"/>
  <c r="Q6" i="5" s="1"/>
  <c r="R5" i="5"/>
  <c r="S5" i="5" s="1"/>
  <c r="O7" i="5"/>
  <c r="Q10" i="5"/>
  <c r="K12" i="5"/>
  <c r="P7" i="5"/>
  <c r="O8" i="5"/>
  <c r="P8" i="5"/>
  <c r="J12" i="5"/>
  <c r="P9" i="5"/>
  <c r="AM9" i="5" s="1"/>
  <c r="L12" i="5"/>
  <c r="AK9" i="5" l="1"/>
  <c r="AJ9" i="5"/>
  <c r="AD7" i="5"/>
  <c r="V5" i="5"/>
  <c r="AA10" i="5"/>
  <c r="AA9" i="5"/>
  <c r="AC9" i="5"/>
  <c r="W9" i="5"/>
  <c r="W10" i="5"/>
  <c r="Z5" i="5"/>
  <c r="L28" i="6"/>
  <c r="L22" i="6"/>
  <c r="U8" i="5"/>
  <c r="AJ8" i="5" s="1"/>
  <c r="U7" i="5"/>
  <c r="Z7" i="5" s="1"/>
  <c r="F24" i="6" s="1"/>
  <c r="U6" i="5"/>
  <c r="V11" i="5"/>
  <c r="C28" i="6" s="1"/>
  <c r="AH11" i="5"/>
  <c r="AE5" i="5"/>
  <c r="AD6" i="5"/>
  <c r="AD9" i="5"/>
  <c r="AE9" i="5" s="1"/>
  <c r="I26" i="6" s="1"/>
  <c r="AE11" i="5"/>
  <c r="I28" i="6" s="1"/>
  <c r="AD10" i="5"/>
  <c r="Q7" i="5"/>
  <c r="Q8" i="5"/>
  <c r="AD8" i="5"/>
  <c r="AE8" i="5" s="1"/>
  <c r="Q9" i="5"/>
  <c r="U9" i="5"/>
  <c r="Z9" i="5" s="1"/>
  <c r="Q5" i="5"/>
  <c r="V8" i="5"/>
  <c r="U10" i="5"/>
  <c r="V10" i="5" s="1"/>
  <c r="Z10" i="5"/>
  <c r="J28" i="6"/>
  <c r="S6" i="5"/>
  <c r="O12" i="5"/>
  <c r="AJ7" i="5" l="1"/>
  <c r="L24" i="6" s="1"/>
  <c r="V6" i="5"/>
  <c r="C23" i="6" s="1"/>
  <c r="AJ6" i="5"/>
  <c r="L23" i="6" s="1"/>
  <c r="Z6" i="5"/>
  <c r="R18" i="5"/>
  <c r="AF8" i="5"/>
  <c r="J25" i="6" s="1"/>
  <c r="AF9" i="5"/>
  <c r="AF10" i="5"/>
  <c r="J27" i="6" s="1"/>
  <c r="M27" i="6"/>
  <c r="M28" i="6"/>
  <c r="AE7" i="5"/>
  <c r="I24" i="6" s="1"/>
  <c r="AE6" i="5"/>
  <c r="I23" i="6" s="1"/>
  <c r="L27" i="6"/>
  <c r="M25" i="6"/>
  <c r="L25" i="6"/>
  <c r="L26" i="6"/>
  <c r="M26" i="6"/>
  <c r="AH10" i="5"/>
  <c r="AH9" i="5"/>
  <c r="C27" i="6"/>
  <c r="F27" i="6"/>
  <c r="AE10" i="5"/>
  <c r="I27" i="6" s="1"/>
  <c r="P5" i="5"/>
  <c r="Q12" i="5"/>
  <c r="S17" i="5" s="1"/>
  <c r="AD12" i="5"/>
  <c r="C25" i="6"/>
  <c r="Z8" i="5"/>
  <c r="AH8" i="5"/>
  <c r="F26" i="6"/>
  <c r="V9" i="5"/>
  <c r="I25" i="6"/>
  <c r="V7" i="5"/>
  <c r="C24" i="6" s="1"/>
  <c r="S19" i="5"/>
  <c r="C22" i="6"/>
  <c r="F23" i="6" l="1"/>
  <c r="L29" i="6"/>
  <c r="AJ12" i="5"/>
  <c r="P12" i="5"/>
  <c r="Q17" i="5"/>
  <c r="Q20" i="5" s="1"/>
  <c r="S20" i="5"/>
  <c r="R17" i="5"/>
  <c r="R20" i="5" s="1"/>
  <c r="F25" i="6"/>
  <c r="C26" i="6"/>
  <c r="C29" i="6" s="1"/>
  <c r="S12" i="5"/>
  <c r="O21" i="5" s="1"/>
  <c r="F22" i="6"/>
  <c r="V12" i="5"/>
  <c r="U12" i="5"/>
  <c r="F29" i="6" l="1"/>
  <c r="Q21" i="5"/>
  <c r="R21" i="5" s="1"/>
  <c r="S21" i="5" s="1"/>
  <c r="Q22" i="5" s="1"/>
  <c r="B21" i="6" s="1"/>
  <c r="I22" i="6"/>
  <c r="I29" i="6" s="1"/>
  <c r="AE12" i="5"/>
  <c r="Z12" i="5"/>
  <c r="V2" i="5" l="1"/>
  <c r="AF6" i="5" s="1"/>
  <c r="J26" i="6"/>
  <c r="AA8" i="5" l="1"/>
  <c r="AC8" i="5" s="1"/>
  <c r="W8" i="5"/>
  <c r="AK8" i="5"/>
  <c r="AM8" i="5" s="1"/>
  <c r="AF5" i="5"/>
  <c r="J22" i="6" s="1"/>
  <c r="AK5" i="5"/>
  <c r="AK6" i="5"/>
  <c r="AM6" i="5" s="1"/>
  <c r="AK7" i="5"/>
  <c r="AM7" i="5" s="1"/>
  <c r="W6" i="5"/>
  <c r="Y6" i="5" s="1"/>
  <c r="W5" i="5"/>
  <c r="D22" i="6" s="1"/>
  <c r="X5" i="5"/>
  <c r="E22" i="6" s="1"/>
  <c r="E29" i="6" s="1"/>
  <c r="AL5" i="5"/>
  <c r="AA7" i="5"/>
  <c r="AC7" i="5" s="1"/>
  <c r="AA6" i="5"/>
  <c r="AC6" i="5" s="1"/>
  <c r="AF7" i="5"/>
  <c r="AH7" i="5" s="1"/>
  <c r="AA5" i="5"/>
  <c r="G22" i="6" s="1"/>
  <c r="W7" i="5"/>
  <c r="Y7" i="5" s="1"/>
  <c r="AH6" i="5"/>
  <c r="AB5" i="5"/>
  <c r="AB12" i="5" s="1"/>
  <c r="G26" i="6"/>
  <c r="Y8" i="5"/>
  <c r="Y9" i="5"/>
  <c r="D23" i="6" l="1"/>
  <c r="G24" i="6"/>
  <c r="M24" i="6"/>
  <c r="M23" i="6"/>
  <c r="Y5" i="5"/>
  <c r="M22" i="6"/>
  <c r="AM5" i="5"/>
  <c r="AM12" i="5" s="1"/>
  <c r="L30" i="6" s="1"/>
  <c r="D24" i="6"/>
  <c r="AK12" i="5"/>
  <c r="G27" i="6"/>
  <c r="AC10" i="5"/>
  <c r="D27" i="6"/>
  <c r="Y10" i="5"/>
  <c r="D28" i="6"/>
  <c r="Y11" i="5"/>
  <c r="G28" i="6"/>
  <c r="AC11" i="5"/>
  <c r="D26" i="6"/>
  <c r="J23" i="6"/>
  <c r="D25" i="6"/>
  <c r="H22" i="6"/>
  <c r="H29" i="6" s="1"/>
  <c r="X12" i="5"/>
  <c r="AC5" i="5"/>
  <c r="AA12" i="5"/>
  <c r="G23" i="6"/>
  <c r="G25" i="6"/>
  <c r="W12" i="5"/>
  <c r="AF12" i="5"/>
  <c r="J24" i="6"/>
  <c r="M29" i="6" l="1"/>
  <c r="N22" i="6"/>
  <c r="N29" i="6" s="1"/>
  <c r="AL12" i="5"/>
  <c r="AG5" i="5"/>
  <c r="AG12" i="5" s="1"/>
  <c r="D29" i="6"/>
  <c r="AC12" i="5"/>
  <c r="F30" i="6" s="1"/>
  <c r="J29" i="6"/>
  <c r="Y12" i="5"/>
  <c r="G29" i="6"/>
  <c r="C30" i="6" l="1"/>
  <c r="AH5" i="5"/>
  <c r="K22" i="6"/>
  <c r="K29" i="6" s="1"/>
  <c r="AH12" i="5" l="1"/>
  <c r="I30" i="6" s="1"/>
  <c r="AN12" i="5" l="1"/>
  <c r="D18" i="6" s="1"/>
</calcChain>
</file>

<file path=xl/sharedStrings.xml><?xml version="1.0" encoding="utf-8"?>
<sst xmlns="http://schemas.openxmlformats.org/spreadsheetml/2006/main" count="172" uniqueCount="111">
  <si>
    <t>被保険者</t>
    <rPh sb="0" eb="4">
      <t>ヒホケンシャ</t>
    </rPh>
    <phoneticPr fontId="1"/>
  </si>
  <si>
    <t>世帯主</t>
    <rPh sb="0" eb="3">
      <t>セタイヌシ</t>
    </rPh>
    <phoneticPr fontId="1"/>
  </si>
  <si>
    <t>被保険者A</t>
    <rPh sb="0" eb="4">
      <t>ヒホケンシャ</t>
    </rPh>
    <phoneticPr fontId="1"/>
  </si>
  <si>
    <t>被保険者B</t>
    <rPh sb="0" eb="4">
      <t>ヒホケンシャ</t>
    </rPh>
    <phoneticPr fontId="1"/>
  </si>
  <si>
    <t>被保険者C</t>
    <rPh sb="0" eb="4">
      <t>ヒホケンシャ</t>
    </rPh>
    <phoneticPr fontId="1"/>
  </si>
  <si>
    <t>被保険者D</t>
    <rPh sb="0" eb="4">
      <t>ヒホケンシャ</t>
    </rPh>
    <phoneticPr fontId="1"/>
  </si>
  <si>
    <t>被保険者E</t>
    <rPh sb="0" eb="4">
      <t>ヒホケンシャ</t>
    </rPh>
    <phoneticPr fontId="1"/>
  </si>
  <si>
    <t>他の保険</t>
    <rPh sb="0" eb="1">
      <t>タ</t>
    </rPh>
    <rPh sb="2" eb="4">
      <t>ホケン</t>
    </rPh>
    <phoneticPr fontId="1"/>
  </si>
  <si>
    <t>年齢</t>
    <rPh sb="0" eb="2">
      <t>ネンレイ</t>
    </rPh>
    <phoneticPr fontId="1"/>
  </si>
  <si>
    <t>０歳から３９歳</t>
    <rPh sb="1" eb="2">
      <t>サイ</t>
    </rPh>
    <rPh sb="6" eb="7">
      <t>サイ</t>
    </rPh>
    <phoneticPr fontId="1"/>
  </si>
  <si>
    <t>４０歳から６４歳</t>
    <rPh sb="2" eb="3">
      <t>サイ</t>
    </rPh>
    <rPh sb="7" eb="8">
      <t>サイ</t>
    </rPh>
    <phoneticPr fontId="1"/>
  </si>
  <si>
    <t>６５歳から７４歳</t>
    <rPh sb="2" eb="3">
      <t>サイ</t>
    </rPh>
    <rPh sb="7" eb="8">
      <t>サイ</t>
    </rPh>
    <phoneticPr fontId="1"/>
  </si>
  <si>
    <t>医療分</t>
    <rPh sb="0" eb="2">
      <t>イリョウ</t>
    </rPh>
    <rPh sb="2" eb="3">
      <t>ブン</t>
    </rPh>
    <phoneticPr fontId="1"/>
  </si>
  <si>
    <t>介護分</t>
    <rPh sb="0" eb="2">
      <t>カイゴ</t>
    </rPh>
    <rPh sb="2" eb="3">
      <t>ブン</t>
    </rPh>
    <phoneticPr fontId="1"/>
  </si>
  <si>
    <t>所得割率</t>
    <rPh sb="0" eb="2">
      <t>ショトク</t>
    </rPh>
    <rPh sb="2" eb="3">
      <t>ワリ</t>
    </rPh>
    <rPh sb="3" eb="4">
      <t>リツ</t>
    </rPh>
    <phoneticPr fontId="1"/>
  </si>
  <si>
    <t>均等割</t>
    <rPh sb="0" eb="3">
      <t>キントウワ</t>
    </rPh>
    <phoneticPr fontId="1"/>
  </si>
  <si>
    <t>平等割</t>
    <rPh sb="0" eb="2">
      <t>ビョウドウ</t>
    </rPh>
    <rPh sb="2" eb="3">
      <t>ワリ</t>
    </rPh>
    <phoneticPr fontId="1"/>
  </si>
  <si>
    <t>限度額</t>
    <rPh sb="0" eb="2">
      <t>ゲンド</t>
    </rPh>
    <rPh sb="2" eb="3">
      <t>ガク</t>
    </rPh>
    <phoneticPr fontId="1"/>
  </si>
  <si>
    <t>所得割</t>
    <rPh sb="0" eb="2">
      <t>ショトク</t>
    </rPh>
    <rPh sb="2" eb="3">
      <t>ワリ</t>
    </rPh>
    <phoneticPr fontId="1"/>
  </si>
  <si>
    <t>１年間の保険料</t>
    <rPh sb="1" eb="3">
      <t>ネンカン</t>
    </rPh>
    <rPh sb="4" eb="7">
      <t>ホケンリョウ</t>
    </rPh>
    <phoneticPr fontId="1"/>
  </si>
  <si>
    <t>給与所得</t>
    <rPh sb="0" eb="4">
      <t>キュウヨショトク</t>
    </rPh>
    <phoneticPr fontId="5"/>
  </si>
  <si>
    <t>年金所得</t>
    <rPh sb="0" eb="4">
      <t>ネンキンショトク</t>
    </rPh>
    <phoneticPr fontId="5"/>
  </si>
  <si>
    <t>その他の所得</t>
    <rPh sb="2" eb="3">
      <t>タ</t>
    </rPh>
    <rPh sb="4" eb="6">
      <t>ショトク</t>
    </rPh>
    <phoneticPr fontId="5"/>
  </si>
  <si>
    <t>基礎控除</t>
    <rPh sb="0" eb="4">
      <t>キソコウジョ</t>
    </rPh>
    <phoneticPr fontId="5"/>
  </si>
  <si>
    <t>被保険者</t>
  </si>
  <si>
    <t>被保険者数</t>
    <rPh sb="0" eb="5">
      <t>ヒホケンシャスウ</t>
    </rPh>
    <phoneticPr fontId="5"/>
  </si>
  <si>
    <t>合計</t>
    <rPh sb="0" eb="2">
      <t>ゴウケイ</t>
    </rPh>
    <phoneticPr fontId="5"/>
  </si>
  <si>
    <t>加入保険</t>
    <rPh sb="0" eb="4">
      <t>カニュウホケン</t>
    </rPh>
    <phoneticPr fontId="1"/>
  </si>
  <si>
    <t>世帯員</t>
    <rPh sb="0" eb="3">
      <t>セタイイン</t>
    </rPh>
    <phoneticPr fontId="5"/>
  </si>
  <si>
    <t>軽減基準所得額</t>
    <rPh sb="0" eb="6">
      <t>ケイゲンキジュンショトク</t>
    </rPh>
    <rPh sb="6" eb="7">
      <t>ガク</t>
    </rPh>
    <phoneticPr fontId="5"/>
  </si>
  <si>
    <t>７割軽減限度額</t>
    <rPh sb="1" eb="4">
      <t>ワリケイゲン</t>
    </rPh>
    <rPh sb="4" eb="7">
      <t>ゲンドガク</t>
    </rPh>
    <phoneticPr fontId="5"/>
  </si>
  <si>
    <t>５割軽減限度額</t>
    <rPh sb="1" eb="4">
      <t>ワリケイゲン</t>
    </rPh>
    <rPh sb="4" eb="7">
      <t>ゲンドガク</t>
    </rPh>
    <phoneticPr fontId="5"/>
  </si>
  <si>
    <t>２割軽減限度額</t>
    <rPh sb="1" eb="4">
      <t>ワリケイゲン</t>
    </rPh>
    <rPh sb="4" eb="7">
      <t>ゲンドガク</t>
    </rPh>
    <phoneticPr fontId="5"/>
  </si>
  <si>
    <t>給与所得者等</t>
    <rPh sb="0" eb="6">
      <t>キュウヨショトクシャトウ</t>
    </rPh>
    <phoneticPr fontId="5"/>
  </si>
  <si>
    <t>軽減基準所得算定対象</t>
    <rPh sb="0" eb="6">
      <t>ケイゲンキジュンショトク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</si>
  <si>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</si>
  <si>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</si>
  <si>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</si>
  <si>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</si>
  <si>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年齢要件</t>
    <rPh sb="0" eb="4">
      <t>ネンレイヨウケン</t>
    </rPh>
    <phoneticPr fontId="5"/>
  </si>
  <si>
    <t>法定金額A</t>
    <rPh sb="0" eb="4">
      <t>ホウテイキンガク</t>
    </rPh>
    <phoneticPr fontId="5"/>
  </si>
  <si>
    <t>法定金額B</t>
    <rPh sb="0" eb="4">
      <t>ホウテイキンガク</t>
    </rPh>
    <phoneticPr fontId="5"/>
  </si>
  <si>
    <t>法定金額C</t>
    <rPh sb="0" eb="4">
      <t>ホウテイキンガク</t>
    </rPh>
    <phoneticPr fontId="5"/>
  </si>
  <si>
    <t>→</t>
    <phoneticPr fontId="5"/>
  </si>
  <si>
    <t>軽減基準所得額④</t>
    <rPh sb="0" eb="7">
      <t>ケイゲンキジュンショトクガク</t>
    </rPh>
    <phoneticPr fontId="5"/>
  </si>
  <si>
    <t>■世帯員の情報</t>
    <rPh sb="1" eb="4">
      <t>セタイイン</t>
    </rPh>
    <rPh sb="5" eb="7">
      <t>ジョウホウ</t>
    </rPh>
    <phoneticPr fontId="5"/>
  </si>
  <si>
    <t>×(③-1)</t>
    <phoneticPr fontId="5"/>
  </si>
  <si>
    <t>65歳以上控除（MAX15万円）</t>
    <rPh sb="2" eb="5">
      <t>サイイジョウ</t>
    </rPh>
    <rPh sb="5" eb="7">
      <t>コウジョ</t>
    </rPh>
    <rPh sb="13" eb="15">
      <t>マンエン</t>
    </rPh>
    <phoneticPr fontId="5"/>
  </si>
  <si>
    <t>所得等入力</t>
    <rPh sb="0" eb="3">
      <t>ショトクトウ</t>
    </rPh>
    <rPh sb="3" eb="5">
      <t>ニュウリョク</t>
    </rPh>
    <phoneticPr fontId="5"/>
  </si>
  <si>
    <t>軽減基準所得計算</t>
    <rPh sb="0" eb="8">
      <t>ケイゲンキジュンショトクケイサン</t>
    </rPh>
    <phoneticPr fontId="5"/>
  </si>
  <si>
    <t>世帯員保険料計算</t>
    <rPh sb="0" eb="3">
      <t>セタイイン</t>
    </rPh>
    <rPh sb="3" eb="8">
      <t>ホケンリョウケイサン</t>
    </rPh>
    <phoneticPr fontId="5"/>
  </si>
  <si>
    <t>前年中の所得額　P</t>
    <rPh sb="0" eb="3">
      <t>ゼンネンチュウ</t>
    </rPh>
    <rPh sb="4" eb="6">
      <t>ショトク</t>
    </rPh>
    <rPh sb="6" eb="7">
      <t>ガク</t>
    </rPh>
    <phoneticPr fontId="1"/>
  </si>
  <si>
    <t>基準総所得額
所得額-基礎控除</t>
    <rPh sb="0" eb="6">
      <t>キジュンソウショトクガク</t>
    </rPh>
    <phoneticPr fontId="5"/>
  </si>
  <si>
    <t>医療分
所得割</t>
    <rPh sb="0" eb="3">
      <t>イリョウブン</t>
    </rPh>
    <rPh sb="4" eb="6">
      <t>ショトク</t>
    </rPh>
    <rPh sb="6" eb="7">
      <t>ワリ</t>
    </rPh>
    <phoneticPr fontId="1"/>
  </si>
  <si>
    <t>支援金分
所得割</t>
    <rPh sb="0" eb="3">
      <t>シエンキン</t>
    </rPh>
    <rPh sb="3" eb="4">
      <t>ブン</t>
    </rPh>
    <rPh sb="5" eb="7">
      <t>ショトク</t>
    </rPh>
    <rPh sb="7" eb="8">
      <t>ワリ</t>
    </rPh>
    <phoneticPr fontId="1"/>
  </si>
  <si>
    <t>世帯</t>
    <rPh sb="0" eb="2">
      <t>セタイ</t>
    </rPh>
    <phoneticPr fontId="5"/>
  </si>
  <si>
    <t>均等割２割軽減</t>
    <rPh sb="0" eb="3">
      <t>キントウワ</t>
    </rPh>
    <rPh sb="4" eb="7">
      <t>ワリケイゲン</t>
    </rPh>
    <phoneticPr fontId="5"/>
  </si>
  <si>
    <t>均等割５割軽減</t>
    <rPh sb="0" eb="3">
      <t>キントウワ</t>
    </rPh>
    <rPh sb="4" eb="7">
      <t>ワリケイゲン</t>
    </rPh>
    <phoneticPr fontId="5"/>
  </si>
  <si>
    <t>均等割７割軽減</t>
    <rPh sb="0" eb="3">
      <t>キントウワ</t>
    </rPh>
    <rPh sb="4" eb="7">
      <t>ワリケイゲン</t>
    </rPh>
    <phoneticPr fontId="5"/>
  </si>
  <si>
    <t>平等割２割軽減</t>
    <rPh sb="0" eb="2">
      <t>ビョウドウ</t>
    </rPh>
    <rPh sb="2" eb="3">
      <t>ワリ</t>
    </rPh>
    <rPh sb="4" eb="7">
      <t>ワリケイゲン</t>
    </rPh>
    <phoneticPr fontId="5"/>
  </si>
  <si>
    <t>平等割５割軽減</t>
    <rPh sb="0" eb="2">
      <t>ビョウドウ</t>
    </rPh>
    <rPh sb="2" eb="3">
      <t>ワリ</t>
    </rPh>
    <rPh sb="4" eb="7">
      <t>ワリケイゲン</t>
    </rPh>
    <phoneticPr fontId="5"/>
  </si>
  <si>
    <t>平等割７割軽減</t>
    <rPh sb="0" eb="2">
      <t>ビョウドウ</t>
    </rPh>
    <rPh sb="2" eb="3">
      <t>ワリ</t>
    </rPh>
    <rPh sb="4" eb="7">
      <t>ワリケイゲン</t>
    </rPh>
    <phoneticPr fontId="5"/>
  </si>
  <si>
    <t>医療分計</t>
    <rPh sb="0" eb="4">
      <t>イリョウ</t>
    </rPh>
    <phoneticPr fontId="1"/>
  </si>
  <si>
    <t>被保険者のみ↑</t>
    <rPh sb="0" eb="4">
      <t>ヒホケンセィア</t>
    </rPh>
    <phoneticPr fontId="5"/>
  </si>
  <si>
    <t>世帯主のみ</t>
    <rPh sb="0" eb="3">
      <t>セタイヌス</t>
    </rPh>
    <phoneticPr fontId="5"/>
  </si>
  <si>
    <t>☆軽減率</t>
    <rPh sb="1" eb="4">
      <t>ケイゲンリテゥ</t>
    </rPh>
    <phoneticPr fontId="5"/>
  </si>
  <si>
    <t>軽減率の計算</t>
    <rPh sb="0" eb="3">
      <t>ケイゲn</t>
    </rPh>
    <phoneticPr fontId="5"/>
  </si>
  <si>
    <t>支援金分</t>
    <rPh sb="0" eb="4">
      <t>シエn</t>
    </rPh>
    <phoneticPr fontId="1"/>
  </si>
  <si>
    <t>支援金分計</t>
    <rPh sb="0" eb="5">
      <t>シエn</t>
    </rPh>
    <phoneticPr fontId="1"/>
  </si>
  <si>
    <t>介護分計</t>
    <rPh sb="0" eb="3">
      <t>カイゴブン</t>
    </rPh>
    <rPh sb="3" eb="4">
      <t>ケイ</t>
    </rPh>
    <phoneticPr fontId="1"/>
  </si>
  <si>
    <t>（世帯計）</t>
    <rPh sb="1" eb="3">
      <t>セタイ</t>
    </rPh>
    <rPh sb="3" eb="4">
      <t>ケイ</t>
    </rPh>
    <phoneticPr fontId="5"/>
  </si>
  <si>
    <t>世帯主</t>
    <rPh sb="0" eb="3">
      <t>セタイヌシ</t>
    </rPh>
    <phoneticPr fontId="5"/>
  </si>
  <si>
    <t>世帯合計</t>
    <rPh sb="0" eb="4">
      <t>セタイゴウケイ</t>
    </rPh>
    <phoneticPr fontId="5"/>
  </si>
  <si>
    <t>軽減率</t>
    <rPh sb="0" eb="3">
      <t>ケイゲンリツ</t>
    </rPh>
    <phoneticPr fontId="5"/>
  </si>
  <si>
    <t>社会保険と比較される場合は、12か月で割って比較してください。
福知山市では、年額を10回でお支払いいただいております。</t>
    <phoneticPr fontId="5"/>
  </si>
  <si>
    <t>【保険料内訳】</t>
    <rPh sb="1" eb="6">
      <t>ホケンリョウウチワケ</t>
    </rPh>
    <phoneticPr fontId="5"/>
  </si>
  <si>
    <t>保険加入</t>
    <rPh sb="0" eb="4">
      <t>ホケンカニュウ</t>
    </rPh>
    <phoneticPr fontId="5"/>
  </si>
  <si>
    <t>被保険者F</t>
    <rPh sb="0" eb="4">
      <t>ヒホケンシャ</t>
    </rPh>
    <phoneticPr fontId="1"/>
  </si>
  <si>
    <r>
      <t>均等割</t>
    </r>
    <r>
      <rPr>
        <sz val="8"/>
        <color theme="1"/>
        <rFont val="HG丸ｺﾞｼｯｸM-PRO"/>
        <family val="3"/>
        <charset val="128"/>
      </rPr>
      <t>軽減なし</t>
    </r>
    <rPh sb="0" eb="3">
      <t>キントウワ</t>
    </rPh>
    <rPh sb="3" eb="5">
      <t>ケイゲン</t>
    </rPh>
    <phoneticPr fontId="1"/>
  </si>
  <si>
    <r>
      <t>平等割</t>
    </r>
    <r>
      <rPr>
        <sz val="8"/>
        <color theme="1"/>
        <rFont val="HG丸ｺﾞｼｯｸM-PRO"/>
        <family val="3"/>
        <charset val="128"/>
      </rPr>
      <t>軽減なし</t>
    </r>
    <rPh sb="0" eb="2">
      <t>ビョウドウ</t>
    </rPh>
    <rPh sb="2" eb="3">
      <t>ワリ</t>
    </rPh>
    <rPh sb="3" eb="5">
      <t>ケイゲン</t>
    </rPh>
    <phoneticPr fontId="1"/>
  </si>
  <si>
    <t>　使い方がわからない場合、１世帯の被保険者がこのシートよりも多い場合、正確な試算を御希望の場合は、国保係（℡24-7019）までご相談ください。</t>
    <phoneticPr fontId="5"/>
  </si>
  <si>
    <t>世帯主様は、被保険者でなくても所得を入力してください。</t>
  </si>
  <si>
    <t>②が算定対象の合計↑
※マイナスにはならない</t>
    <rPh sb="2" eb="6">
      <t>サンテイタイショウ</t>
    </rPh>
    <rPh sb="7" eb="9">
      <t>ゴウケイ</t>
    </rPh>
    <phoneticPr fontId="5"/>
  </si>
  <si>
    <t>給与所得ありor年金所得１５万円超（65歳以上）</t>
    <rPh sb="0" eb="1">
      <t>キュウ</t>
    </rPh>
    <rPh sb="8" eb="10">
      <t>ネn</t>
    </rPh>
    <rPh sb="10" eb="12">
      <t>ショトク</t>
    </rPh>
    <rPh sb="20" eb="23">
      <t>サイイジョウ</t>
    </rPh>
    <phoneticPr fontId="5"/>
  </si>
  <si>
    <t>×①</t>
    <phoneticPr fontId="5"/>
  </si>
  <si>
    <t>←料率変更時はこの表を変える</t>
    <rPh sb="1" eb="3">
      <t>リョウリツ</t>
    </rPh>
    <rPh sb="3" eb="5">
      <t>ヘンコウ</t>
    </rPh>
    <rPh sb="5" eb="6">
      <t>ドキ</t>
    </rPh>
    <rPh sb="9" eb="10">
      <t>ヒョウ</t>
    </rPh>
    <rPh sb="11" eb="12">
      <t>カ</t>
    </rPh>
    <phoneticPr fontId="5"/>
  </si>
  <si>
    <t>支援金分</t>
    <rPh sb="0" eb="3">
      <t>シエンキン</t>
    </rPh>
    <rPh sb="3" eb="4">
      <t>ブン</t>
    </rPh>
    <phoneticPr fontId="1"/>
  </si>
  <si>
    <t>千円未満切り捨て</t>
    <rPh sb="0" eb="5">
      <t>センエn</t>
    </rPh>
    <phoneticPr fontId="5"/>
  </si>
  <si>
    <t>生年月日</t>
    <rPh sb="0" eb="4">
      <t>セイネンガッピ</t>
    </rPh>
    <phoneticPr fontId="5"/>
  </si>
  <si>
    <t>軽減判定年齢</t>
    <rPh sb="0" eb="6">
      <t>ケイゲンハンテイ</t>
    </rPh>
    <phoneticPr fontId="5"/>
  </si>
  <si>
    <t>加入予定日</t>
    <rPh sb="0" eb="5">
      <t>カニュウヨテイ</t>
    </rPh>
    <phoneticPr fontId="5"/>
  </si>
  <si>
    <t>加入時年齢</t>
    <rPh sb="0" eb="5">
      <t>カニュウ</t>
    </rPh>
    <phoneticPr fontId="5"/>
  </si>
  <si>
    <t>介護分月数</t>
    <rPh sb="0" eb="2">
      <t>カイゴ</t>
    </rPh>
    <rPh sb="3" eb="5">
      <t>ツキ</t>
    </rPh>
    <phoneticPr fontId="5"/>
  </si>
  <si>
    <t>&gt;=40</t>
    <phoneticPr fontId="5"/>
  </si>
  <si>
    <t>&lt;65</t>
    <phoneticPr fontId="5"/>
  </si>
  <si>
    <t>各月末年齢</t>
    <rPh sb="0" eb="5">
      <t>カック</t>
    </rPh>
    <phoneticPr fontId="5"/>
  </si>
  <si>
    <t>６歳未満</t>
    <phoneticPr fontId="5"/>
  </si>
  <si>
    <t>介護分
対象月数</t>
    <rPh sb="0" eb="2">
      <t>カイゴ</t>
    </rPh>
    <rPh sb="2" eb="3">
      <t>ブン</t>
    </rPh>
    <rPh sb="4" eb="6">
      <t>タイショウ</t>
    </rPh>
    <rPh sb="6" eb="8">
      <t>ツキスウ</t>
    </rPh>
    <phoneticPr fontId="5"/>
  </si>
  <si>
    <t>最大月数↑</t>
    <rPh sb="0" eb="4">
      <t>サイダイツキス</t>
    </rPh>
    <phoneticPr fontId="5"/>
  </si>
  <si>
    <t>月割</t>
    <rPh sb="0" eb="2">
      <t>🈷</t>
    </rPh>
    <phoneticPr fontId="5"/>
  </si>
  <si>
    <t>　世帯内に所得未申告の方、雇い止めによる解雇の方などがある場合は、下記の計算と異なる場合があります。</t>
    <phoneticPr fontId="5"/>
  </si>
  <si>
    <t>記入例</t>
    <rPh sb="0" eb="2">
      <t>キニュウ</t>
    </rPh>
    <rPh sb="2" eb="3">
      <t>レイ</t>
    </rPh>
    <phoneticPr fontId="5"/>
  </si>
  <si>
    <t>生年月日
（西暦）</t>
    <rPh sb="0" eb="4">
      <t>セイネンガッピ</t>
    </rPh>
    <rPh sb="6" eb="8">
      <t>セイレキ</t>
    </rPh>
    <phoneticPr fontId="5"/>
  </si>
  <si>
    <t>　年度途中での年齢区分の変更や、産前産後保険料免除制度には対応しておりません。</t>
    <rPh sb="16" eb="18">
      <t>サンゼン</t>
    </rPh>
    <rPh sb="18" eb="20">
      <t>サンゴ</t>
    </rPh>
    <rPh sb="20" eb="23">
      <t>ホケンリョウ</t>
    </rPh>
    <rPh sb="23" eb="25">
      <t>メンジョ</t>
    </rPh>
    <rPh sb="25" eb="27">
      <t>セイド</t>
    </rPh>
    <phoneticPr fontId="5"/>
  </si>
  <si>
    <t>令和８年度　福知山市国民健康保険料試算シート</t>
    <rPh sb="0" eb="2">
      <t>レイワ</t>
    </rPh>
    <rPh sb="3" eb="5">
      <t>ネンド</t>
    </rPh>
    <phoneticPr fontId="5"/>
  </si>
  <si>
    <t>子ども分</t>
    <rPh sb="0" eb="1">
      <t>コ</t>
    </rPh>
    <rPh sb="3" eb="4">
      <t>ブン</t>
    </rPh>
    <phoneticPr fontId="1"/>
  </si>
  <si>
    <t>子ども分</t>
    <rPh sb="0" eb="1">
      <t>コ</t>
    </rPh>
    <rPh sb="3" eb="4">
      <t>ブン</t>
    </rPh>
    <phoneticPr fontId="5"/>
  </si>
  <si>
    <t>令和８年度国民健康保険料率表</t>
    <rPh sb="0" eb="2">
      <t>レイワ</t>
    </rPh>
    <rPh sb="3" eb="5">
      <t>ネンド</t>
    </rPh>
    <rPh sb="5" eb="14">
      <t>コクミンケンコウホケンリョウリツヒョウ</t>
    </rPh>
    <phoneticPr fontId="5"/>
  </si>
  <si>
    <t>子ども分計</t>
    <rPh sb="0" eb="1">
      <t>コ</t>
    </rPh>
    <rPh sb="3" eb="4">
      <t>ブン</t>
    </rPh>
    <rPh sb="4" eb="5">
      <t>ケイ</t>
    </rPh>
    <phoneticPr fontId="1"/>
  </si>
  <si>
    <t>高校生未満</t>
    <rPh sb="0" eb="3">
      <t>コウコウセイ</t>
    </rPh>
    <phoneticPr fontId="5"/>
  </si>
  <si>
    <t xml:space="preserve">子ども分
</t>
    <rPh sb="0" eb="1">
      <t>コ</t>
    </rPh>
    <rPh sb="3" eb="4">
      <t>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</si>
</sst>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;&quot;△ &quot;#,##0"/>
    <numFmt numFmtId="178" formatCode="#,##0_ &quot;円&quot;"/>
    <numFmt numFmtId="179" formatCode="&quot;限度額 &quot;#,##0_ "/>
    <numFmt numFmtId="180" formatCode="#,##0_);[Red]\(#,##0\)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8"/>
      <color theme="0"/>
      <name val="HG丸ｺﾞｼｯｸM-PRO"/>
      <family val="3"/>
      <charset val="128"/>
    </font>
    <font>
      <b/>
      <sz val="11"/>
      <color rgb="FF00206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rgb="FF002060"/>
      <name val="HG丸ｺﾞｼｯｸM-PRO"/>
      <family val="2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rgb="FFFF0000"/>
      <name val="HG丸ｺﾞｼｯｸM-PRO"/>
      <family val="2"/>
      <charset val="128"/>
    </font>
    <font>
      <sz val="8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 diagonalUp="1"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 style="hair">
        <color auto="1"/>
      </diagonal>
    </border>
    <border diagonalUp="1"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 diagonalUp="1"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 style="thin">
        <color auto="1"/>
      </diagonal>
    </border>
    <border diagonalUp="1"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 style="thin">
        <color auto="1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2">
    <xf numFmtId="0" fontId="0" fillId="0" borderId="0" xfId="0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176" fontId="6" fillId="0" borderId="1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0" fontId="6" fillId="0" borderId="10" xfId="0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0" fontId="6" fillId="0" borderId="12" xfId="0" applyFont="1" applyBorder="1">
      <alignment vertical="center"/>
    </xf>
    <xf numFmtId="176" fontId="6" fillId="0" borderId="13" xfId="0" applyNumberFormat="1" applyFont="1" applyBorder="1">
      <alignment vertical="center"/>
    </xf>
    <xf numFmtId="176" fontId="6" fillId="0" borderId="14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6" xfId="0" applyFont="1" applyBorder="1">
      <alignment vertical="center"/>
    </xf>
    <xf numFmtId="177" fontId="6" fillId="0" borderId="1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177" fontId="6" fillId="0" borderId="2" xfId="0" applyNumberFormat="1" applyFont="1" applyBorder="1">
      <alignment vertical="center"/>
    </xf>
    <xf numFmtId="177" fontId="6" fillId="0" borderId="15" xfId="0" applyNumberFormat="1" applyFont="1" applyBorder="1">
      <alignment vertical="center"/>
    </xf>
    <xf numFmtId="177" fontId="6" fillId="0" borderId="7" xfId="0" applyNumberFormat="1" applyFont="1" applyBorder="1">
      <alignment vertical="center"/>
    </xf>
    <xf numFmtId="177" fontId="6" fillId="0" borderId="16" xfId="0" applyNumberFormat="1" applyFont="1" applyBorder="1">
      <alignment vertical="center"/>
    </xf>
    <xf numFmtId="177" fontId="6" fillId="0" borderId="6" xfId="0" applyNumberFormat="1" applyFont="1" applyBorder="1">
      <alignment vertical="center"/>
    </xf>
    <xf numFmtId="0" fontId="6" fillId="0" borderId="15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0" borderId="16" xfId="0" applyNumberFormat="1" applyFont="1" applyBorder="1" applyAlignment="1">
      <alignment vertical="center"/>
    </xf>
    <xf numFmtId="177" fontId="6" fillId="4" borderId="16" xfId="0" applyNumberFormat="1" applyFont="1" applyFill="1" applyBorder="1">
      <alignment vertical="center"/>
    </xf>
    <xf numFmtId="177" fontId="6" fillId="4" borderId="7" xfId="0" applyNumberFormat="1" applyFont="1" applyFill="1" applyBorder="1">
      <alignment vertical="center"/>
    </xf>
    <xf numFmtId="0" fontId="6" fillId="3" borderId="18" xfId="0" applyFont="1" applyFill="1" applyBorder="1">
      <alignment vertical="center"/>
    </xf>
    <xf numFmtId="176" fontId="6" fillId="3" borderId="3" xfId="0" applyNumberFormat="1" applyFont="1" applyFill="1" applyBorder="1">
      <alignment vertical="center"/>
    </xf>
    <xf numFmtId="176" fontId="6" fillId="3" borderId="19" xfId="0" applyNumberFormat="1" applyFont="1" applyFill="1" applyBorder="1">
      <alignment vertical="center"/>
    </xf>
    <xf numFmtId="0" fontId="7" fillId="3" borderId="3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177" fontId="6" fillId="3" borderId="3" xfId="0" applyNumberFormat="1" applyFont="1" applyFill="1" applyBorder="1" applyAlignment="1">
      <alignment vertical="center"/>
    </xf>
    <xf numFmtId="177" fontId="6" fillId="3" borderId="3" xfId="0" applyNumberFormat="1" applyFont="1" applyFill="1" applyBorder="1">
      <alignment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176" fontId="8" fillId="5" borderId="20" xfId="0" applyNumberFormat="1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/>
    </xf>
    <xf numFmtId="176" fontId="8" fillId="5" borderId="22" xfId="0" applyNumberFormat="1" applyFont="1" applyFill="1" applyBorder="1" applyAlignment="1">
      <alignment horizontal="center" vertical="center"/>
    </xf>
    <xf numFmtId="176" fontId="9" fillId="5" borderId="22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23" xfId="0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0" fontId="8" fillId="5" borderId="0" xfId="0" applyFont="1" applyFill="1" applyBorder="1" applyAlignment="1">
      <alignment horizontal="center"/>
    </xf>
    <xf numFmtId="0" fontId="8" fillId="5" borderId="21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wrapText="1"/>
    </xf>
    <xf numFmtId="0" fontId="8" fillId="5" borderId="26" xfId="0" applyFont="1" applyFill="1" applyBorder="1" applyAlignment="1">
      <alignment horizontal="center"/>
    </xf>
    <xf numFmtId="0" fontId="8" fillId="5" borderId="27" xfId="0" applyFont="1" applyFill="1" applyBorder="1" applyAlignment="1">
      <alignment horizontal="center"/>
    </xf>
    <xf numFmtId="10" fontId="8" fillId="5" borderId="28" xfId="0" applyNumberFormat="1" applyFont="1" applyFill="1" applyBorder="1" applyAlignment="1">
      <alignment horizontal="center" vertical="center"/>
    </xf>
    <xf numFmtId="177" fontId="9" fillId="5" borderId="29" xfId="0" applyNumberFormat="1" applyFont="1" applyFill="1" applyBorder="1" applyAlignment="1">
      <alignment horizontal="center" vertical="center"/>
    </xf>
    <xf numFmtId="177" fontId="9" fillId="5" borderId="30" xfId="0" applyNumberFormat="1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wrapText="1"/>
    </xf>
    <xf numFmtId="0" fontId="13" fillId="3" borderId="0" xfId="0" applyFont="1" applyFill="1">
      <alignment vertical="center"/>
    </xf>
    <xf numFmtId="0" fontId="11" fillId="4" borderId="16" xfId="0" applyFont="1" applyFill="1" applyBorder="1">
      <alignment vertical="center"/>
    </xf>
    <xf numFmtId="0" fontId="11" fillId="4" borderId="15" xfId="0" applyFont="1" applyFill="1" applyBorder="1" applyAlignment="1">
      <alignment horizontal="right" vertical="center"/>
    </xf>
    <xf numFmtId="10" fontId="6" fillId="0" borderId="1" xfId="0" applyNumberFormat="1" applyFont="1" applyBorder="1">
      <alignment vertical="center"/>
    </xf>
    <xf numFmtId="177" fontId="6" fillId="0" borderId="32" xfId="0" applyNumberFormat="1" applyFont="1" applyBorder="1">
      <alignment vertical="center"/>
    </xf>
    <xf numFmtId="177" fontId="14" fillId="0" borderId="33" xfId="0" applyNumberFormat="1" applyFont="1" applyBorder="1">
      <alignment vertical="center"/>
    </xf>
    <xf numFmtId="177" fontId="14" fillId="0" borderId="34" xfId="0" applyNumberFormat="1" applyFont="1" applyBorder="1">
      <alignment vertical="center"/>
    </xf>
    <xf numFmtId="0" fontId="15" fillId="0" borderId="0" xfId="0" applyFont="1">
      <alignment vertical="center"/>
    </xf>
    <xf numFmtId="10" fontId="8" fillId="5" borderId="29" xfId="0" applyNumberFormat="1" applyFont="1" applyFill="1" applyBorder="1" applyAlignment="1">
      <alignment horizontal="center" vertical="center"/>
    </xf>
    <xf numFmtId="177" fontId="6" fillId="8" borderId="0" xfId="0" applyNumberFormat="1" applyFont="1" applyFill="1">
      <alignment vertical="center"/>
    </xf>
    <xf numFmtId="177" fontId="6" fillId="8" borderId="0" xfId="0" applyNumberFormat="1" applyFont="1" applyFill="1" applyAlignment="1">
      <alignment horizontal="center" vertical="center"/>
    </xf>
    <xf numFmtId="177" fontId="6" fillId="0" borderId="0" xfId="0" applyNumberFormat="1" applyFont="1" applyFill="1">
      <alignment vertical="center"/>
    </xf>
    <xf numFmtId="177" fontId="6" fillId="0" borderId="0" xfId="0" applyNumberFormat="1" applyFont="1" applyFill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54" xfId="0" applyNumberFormat="1" applyFont="1" applyFill="1" applyBorder="1" applyAlignment="1">
      <alignment horizontal="center" vertical="center"/>
    </xf>
    <xf numFmtId="177" fontId="6" fillId="0" borderId="46" xfId="0" applyNumberFormat="1" applyFont="1" applyFill="1" applyBorder="1" applyAlignment="1">
      <alignment horizontal="center" vertical="center"/>
    </xf>
    <xf numFmtId="177" fontId="6" fillId="0" borderId="47" xfId="0" applyNumberFormat="1" applyFont="1" applyFill="1" applyBorder="1" applyAlignment="1">
      <alignment horizontal="center" vertical="center"/>
    </xf>
    <xf numFmtId="177" fontId="6" fillId="0" borderId="56" xfId="0" applyNumberFormat="1" applyFont="1" applyFill="1" applyBorder="1">
      <alignment vertical="center"/>
    </xf>
    <xf numFmtId="177" fontId="6" fillId="0" borderId="33" xfId="0" applyNumberFormat="1" applyFont="1" applyFill="1" applyBorder="1">
      <alignment vertical="center"/>
    </xf>
    <xf numFmtId="177" fontId="6" fillId="0" borderId="34" xfId="0" applyNumberFormat="1" applyFont="1" applyFill="1" applyBorder="1">
      <alignment vertical="center"/>
    </xf>
    <xf numFmtId="177" fontId="6" fillId="0" borderId="38" xfId="0" applyNumberFormat="1" applyFont="1" applyFill="1" applyBorder="1" applyAlignment="1">
      <alignment horizontal="center" vertical="center"/>
    </xf>
    <xf numFmtId="177" fontId="6" fillId="0" borderId="41" xfId="0" applyNumberFormat="1" applyFont="1" applyFill="1" applyBorder="1" applyAlignment="1">
      <alignment horizontal="center" vertical="center"/>
    </xf>
    <xf numFmtId="177" fontId="6" fillId="0" borderId="42" xfId="0" applyNumberFormat="1" applyFont="1" applyFill="1" applyBorder="1" applyAlignment="1">
      <alignment horizontal="center" vertical="center"/>
    </xf>
    <xf numFmtId="177" fontId="6" fillId="0" borderId="43" xfId="0" applyNumberFormat="1" applyFont="1" applyFill="1" applyBorder="1" applyAlignment="1">
      <alignment horizontal="center" vertical="center"/>
    </xf>
    <xf numFmtId="177" fontId="6" fillId="0" borderId="59" xfId="0" applyNumberFormat="1" applyFont="1" applyFill="1" applyBorder="1">
      <alignment vertical="center"/>
    </xf>
    <xf numFmtId="177" fontId="6" fillId="0" borderId="60" xfId="0" applyNumberFormat="1" applyFont="1" applyFill="1" applyBorder="1">
      <alignment vertical="center"/>
    </xf>
    <xf numFmtId="177" fontId="6" fillId="0" borderId="61" xfId="0" applyNumberFormat="1" applyFont="1" applyFill="1" applyBorder="1">
      <alignment vertical="center"/>
    </xf>
    <xf numFmtId="177" fontId="17" fillId="0" borderId="0" xfId="0" applyNumberFormat="1" applyFont="1" applyFill="1">
      <alignment vertical="center"/>
    </xf>
    <xf numFmtId="177" fontId="14" fillId="0" borderId="0" xfId="0" applyNumberFormat="1" applyFont="1" applyFill="1">
      <alignment vertical="center"/>
    </xf>
    <xf numFmtId="177" fontId="3" fillId="0" borderId="37" xfId="0" applyNumberFormat="1" applyFont="1" applyFill="1" applyBorder="1" applyAlignment="1">
      <alignment vertical="center" shrinkToFit="1"/>
    </xf>
    <xf numFmtId="177" fontId="3" fillId="0" borderId="49" xfId="0" applyNumberFormat="1" applyFont="1" applyFill="1" applyBorder="1" applyAlignment="1">
      <alignment vertical="center" shrinkToFit="1"/>
    </xf>
    <xf numFmtId="177" fontId="3" fillId="0" borderId="35" xfId="0" applyNumberFormat="1" applyFont="1" applyFill="1" applyBorder="1" applyAlignment="1">
      <alignment vertical="center" shrinkToFit="1"/>
    </xf>
    <xf numFmtId="177" fontId="3" fillId="0" borderId="48" xfId="0" applyNumberFormat="1" applyFont="1" applyFill="1" applyBorder="1" applyAlignment="1">
      <alignment vertical="center" shrinkToFit="1"/>
    </xf>
    <xf numFmtId="177" fontId="3" fillId="0" borderId="50" xfId="0" applyNumberFormat="1" applyFont="1" applyFill="1" applyBorder="1" applyAlignment="1">
      <alignment vertical="center" shrinkToFit="1"/>
    </xf>
    <xf numFmtId="177" fontId="3" fillId="0" borderId="52" xfId="0" applyNumberFormat="1" applyFont="1" applyFill="1" applyBorder="1" applyAlignment="1">
      <alignment vertical="center" shrinkToFit="1"/>
    </xf>
    <xf numFmtId="177" fontId="3" fillId="0" borderId="44" xfId="0" applyNumberFormat="1" applyFont="1" applyFill="1" applyBorder="1" applyAlignment="1">
      <alignment vertical="center" shrinkToFit="1"/>
    </xf>
    <xf numFmtId="177" fontId="3" fillId="0" borderId="45" xfId="0" applyNumberFormat="1" applyFont="1" applyFill="1" applyBorder="1" applyAlignment="1">
      <alignment vertical="center" shrinkToFit="1"/>
    </xf>
    <xf numFmtId="177" fontId="3" fillId="0" borderId="46" xfId="0" applyNumberFormat="1" applyFont="1" applyFill="1" applyBorder="1" applyAlignment="1">
      <alignment vertical="center" shrinkToFit="1"/>
    </xf>
    <xf numFmtId="177" fontId="3" fillId="0" borderId="47" xfId="0" applyNumberFormat="1" applyFont="1" applyFill="1" applyBorder="1" applyAlignment="1">
      <alignment vertical="center" shrinkToFit="1"/>
    </xf>
    <xf numFmtId="177" fontId="0" fillId="0" borderId="53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177" fontId="13" fillId="3" borderId="3" xfId="0" applyNumberFormat="1" applyFont="1" applyFill="1" applyBorder="1" applyAlignment="1">
      <alignment vertical="center" shrinkToFit="1"/>
    </xf>
    <xf numFmtId="177" fontId="13" fillId="3" borderId="3" xfId="0" applyNumberFormat="1" applyFont="1" applyFill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vertical="center" shrinkToFit="1"/>
    </xf>
    <xf numFmtId="177" fontId="13" fillId="0" borderId="3" xfId="0" applyNumberFormat="1" applyFont="1" applyFill="1" applyBorder="1" applyAlignment="1">
      <alignment vertical="center" shrinkToFit="1"/>
    </xf>
    <xf numFmtId="177" fontId="6" fillId="6" borderId="1" xfId="0" applyNumberFormat="1" applyFont="1" applyFill="1" applyBorder="1" applyAlignment="1">
      <alignment vertical="center" shrinkToFit="1"/>
    </xf>
    <xf numFmtId="177" fontId="6" fillId="0" borderId="1" xfId="0" applyNumberFormat="1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vertical="center" shrinkToFit="1"/>
    </xf>
    <xf numFmtId="177" fontId="6" fillId="6" borderId="2" xfId="0" applyNumberFormat="1" applyFont="1" applyFill="1" applyBorder="1" applyAlignment="1">
      <alignment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7" fontId="6" fillId="0" borderId="12" xfId="0" applyNumberFormat="1" applyFont="1" applyBorder="1" applyAlignment="1">
      <alignment vertical="center" shrinkToFit="1"/>
    </xf>
    <xf numFmtId="177" fontId="6" fillId="0" borderId="13" xfId="0" applyNumberFormat="1" applyFont="1" applyBorder="1" applyAlignment="1">
      <alignment vertical="center" shrinkToFit="1"/>
    </xf>
    <xf numFmtId="177" fontId="16" fillId="7" borderId="14" xfId="0" applyNumberFormat="1" applyFont="1" applyFill="1" applyBorder="1" applyAlignment="1">
      <alignment vertical="center" shrinkToFit="1"/>
    </xf>
    <xf numFmtId="179" fontId="7" fillId="0" borderId="0" xfId="0" applyNumberFormat="1" applyFont="1">
      <alignment vertical="center"/>
    </xf>
    <xf numFmtId="0" fontId="6" fillId="0" borderId="62" xfId="0" applyFont="1" applyBorder="1">
      <alignment vertical="center"/>
    </xf>
    <xf numFmtId="0" fontId="6" fillId="0" borderId="63" xfId="0" applyFont="1" applyBorder="1">
      <alignment vertical="center"/>
    </xf>
    <xf numFmtId="0" fontId="6" fillId="0" borderId="64" xfId="0" applyFont="1" applyBorder="1">
      <alignment vertical="center"/>
    </xf>
    <xf numFmtId="0" fontId="6" fillId="0" borderId="65" xfId="0" applyFont="1" applyBorder="1">
      <alignment vertical="center"/>
    </xf>
    <xf numFmtId="0" fontId="6" fillId="0" borderId="66" xfId="0" applyFont="1" applyBorder="1">
      <alignment vertical="center"/>
    </xf>
    <xf numFmtId="0" fontId="6" fillId="0" borderId="67" xfId="0" applyFont="1" applyBorder="1">
      <alignment vertical="center"/>
    </xf>
    <xf numFmtId="0" fontId="14" fillId="0" borderId="68" xfId="0" applyFont="1" applyBorder="1" applyAlignment="1">
      <alignment horizontal="right" vertical="center"/>
    </xf>
    <xf numFmtId="0" fontId="14" fillId="0" borderId="69" xfId="0" applyFont="1" applyBorder="1" applyAlignment="1">
      <alignment horizontal="right" vertical="center"/>
    </xf>
    <xf numFmtId="0" fontId="6" fillId="0" borderId="70" xfId="0" applyFont="1" applyBorder="1">
      <alignment vertical="center"/>
    </xf>
    <xf numFmtId="177" fontId="6" fillId="0" borderId="71" xfId="0" applyNumberFormat="1" applyFont="1" applyBorder="1">
      <alignment vertical="center"/>
    </xf>
    <xf numFmtId="0" fontId="6" fillId="0" borderId="72" xfId="0" applyFont="1" applyBorder="1">
      <alignment vertical="center"/>
    </xf>
    <xf numFmtId="177" fontId="6" fillId="2" borderId="13" xfId="0" applyNumberFormat="1" applyFont="1" applyFill="1" applyBorder="1" applyAlignment="1">
      <alignment vertical="center" shrinkToFit="1"/>
    </xf>
    <xf numFmtId="177" fontId="3" fillId="0" borderId="74" xfId="0" applyNumberFormat="1" applyFont="1" applyFill="1" applyBorder="1" applyAlignment="1">
      <alignment vertical="center" shrinkToFit="1"/>
    </xf>
    <xf numFmtId="177" fontId="3" fillId="0" borderId="73" xfId="0" applyNumberFormat="1" applyFont="1" applyFill="1" applyBorder="1" applyAlignment="1">
      <alignment vertical="center" shrinkToFit="1"/>
    </xf>
    <xf numFmtId="177" fontId="0" fillId="0" borderId="55" xfId="0" applyNumberFormat="1" applyFont="1" applyFill="1" applyBorder="1" applyAlignment="1" applyProtection="1">
      <alignment vertical="center" shrinkToFit="1"/>
      <protection locked="0"/>
    </xf>
    <xf numFmtId="177" fontId="3" fillId="0" borderId="37" xfId="0" applyNumberFormat="1" applyFont="1" applyFill="1" applyBorder="1" applyAlignment="1" applyProtection="1">
      <alignment vertical="center" shrinkToFit="1"/>
      <protection locked="0"/>
    </xf>
    <xf numFmtId="177" fontId="3" fillId="0" borderId="49" xfId="0" applyNumberFormat="1" applyFont="1" applyFill="1" applyBorder="1" applyAlignment="1" applyProtection="1">
      <alignment vertical="center" shrinkToFit="1"/>
      <protection locked="0"/>
    </xf>
    <xf numFmtId="177" fontId="0" fillId="0" borderId="36" xfId="0" applyNumberFormat="1" applyFont="1" applyFill="1" applyBorder="1" applyAlignment="1" applyProtection="1">
      <alignment vertical="center" shrinkToFit="1"/>
      <protection locked="0"/>
    </xf>
    <xf numFmtId="177" fontId="3" fillId="0" borderId="35" xfId="0" applyNumberFormat="1" applyFont="1" applyFill="1" applyBorder="1" applyAlignment="1" applyProtection="1">
      <alignment vertical="center" shrinkToFit="1"/>
      <protection locked="0"/>
    </xf>
    <xf numFmtId="177" fontId="3" fillId="0" borderId="51" xfId="0" applyNumberFormat="1" applyFont="1" applyFill="1" applyBorder="1" applyAlignment="1" applyProtection="1">
      <alignment vertical="center" shrinkToFit="1"/>
      <protection locked="0"/>
    </xf>
    <xf numFmtId="177" fontId="0" fillId="0" borderId="58" xfId="0" applyNumberFormat="1" applyFont="1" applyFill="1" applyBorder="1" applyAlignment="1" applyProtection="1">
      <alignment vertical="center" shrinkToFit="1"/>
      <protection locked="0"/>
    </xf>
    <xf numFmtId="177" fontId="3" fillId="0" borderId="42" xfId="0" applyNumberFormat="1" applyFont="1" applyFill="1" applyBorder="1" applyAlignment="1" applyProtection="1">
      <alignment vertical="center" shrinkToFit="1"/>
      <protection locked="0"/>
    </xf>
    <xf numFmtId="177" fontId="3" fillId="0" borderId="43" xfId="0" applyNumberFormat="1" applyFont="1" applyFill="1" applyBorder="1" applyAlignment="1" applyProtection="1">
      <alignment vertical="center" shrinkToFit="1"/>
      <protection locked="0"/>
    </xf>
    <xf numFmtId="177" fontId="13" fillId="3" borderId="5" xfId="0" applyNumberFormat="1" applyFont="1" applyFill="1" applyBorder="1" applyAlignment="1">
      <alignment vertical="center" shrinkToFit="1"/>
    </xf>
    <xf numFmtId="177" fontId="13" fillId="3" borderId="4" xfId="0" applyNumberFormat="1" applyFont="1" applyFill="1" applyBorder="1" applyAlignment="1">
      <alignment vertical="center" shrinkToFit="1"/>
    </xf>
    <xf numFmtId="177" fontId="9" fillId="5" borderId="31" xfId="0" applyNumberFormat="1" applyFont="1" applyFill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 shrinkToFit="1"/>
    </xf>
    <xf numFmtId="177" fontId="13" fillId="3" borderId="75" xfId="0" applyNumberFormat="1" applyFont="1" applyFill="1" applyBorder="1" applyAlignment="1">
      <alignment vertical="center" shrinkToFit="1"/>
    </xf>
    <xf numFmtId="177" fontId="9" fillId="5" borderId="0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vertical="center" shrinkToFit="1"/>
    </xf>
    <xf numFmtId="177" fontId="3" fillId="0" borderId="77" xfId="0" applyNumberFormat="1" applyFont="1" applyFill="1" applyBorder="1" applyAlignment="1">
      <alignment vertical="center" shrinkToFit="1"/>
    </xf>
    <xf numFmtId="177" fontId="3" fillId="0" borderId="76" xfId="0" applyNumberFormat="1" applyFont="1" applyFill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14" fontId="0" fillId="0" borderId="37" xfId="0" applyNumberFormat="1" applyFont="1" applyFill="1" applyBorder="1" applyAlignment="1" applyProtection="1">
      <alignment vertical="center" shrinkToFit="1"/>
      <protection locked="0"/>
    </xf>
    <xf numFmtId="14" fontId="0" fillId="0" borderId="35" xfId="0" applyNumberFormat="1" applyFont="1" applyFill="1" applyBorder="1" applyAlignment="1" applyProtection="1">
      <alignment vertical="center" shrinkToFit="1"/>
      <protection locked="0"/>
    </xf>
    <xf numFmtId="14" fontId="0" fillId="0" borderId="42" xfId="0" applyNumberFormat="1" applyFont="1" applyFill="1" applyBorder="1" applyAlignment="1" applyProtection="1">
      <alignment vertical="center" shrinkToFit="1"/>
      <protection locked="0"/>
    </xf>
    <xf numFmtId="14" fontId="6" fillId="0" borderId="1" xfId="0" applyNumberFormat="1" applyFont="1" applyBorder="1">
      <alignment vertical="center"/>
    </xf>
    <xf numFmtId="14" fontId="6" fillId="0" borderId="0" xfId="0" applyNumberFormat="1" applyFont="1">
      <alignment vertical="center"/>
    </xf>
    <xf numFmtId="14" fontId="6" fillId="0" borderId="1" xfId="0" applyNumberFormat="1" applyFont="1" applyBorder="1" applyAlignment="1">
      <alignment horizontal="center" vertical="center"/>
    </xf>
    <xf numFmtId="180" fontId="6" fillId="0" borderId="1" xfId="0" applyNumberFormat="1" applyFont="1" applyBorder="1">
      <alignment vertical="center"/>
    </xf>
    <xf numFmtId="176" fontId="6" fillId="0" borderId="0" xfId="0" applyNumberFormat="1" applyFont="1" applyAlignment="1">
      <alignment vertical="center" shrinkToFit="1"/>
    </xf>
    <xf numFmtId="14" fontId="18" fillId="9" borderId="1" xfId="0" applyNumberFormat="1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vertical="center" shrinkToFit="1"/>
    </xf>
    <xf numFmtId="14" fontId="6" fillId="3" borderId="3" xfId="0" applyNumberFormat="1" applyFont="1" applyFill="1" applyBorder="1" applyAlignment="1">
      <alignment vertical="center" shrinkToFit="1"/>
    </xf>
    <xf numFmtId="176" fontId="6" fillId="3" borderId="3" xfId="0" applyNumberFormat="1" applyFont="1" applyFill="1" applyBorder="1" applyAlignment="1">
      <alignment vertical="center" shrinkToFit="1"/>
    </xf>
    <xf numFmtId="176" fontId="6" fillId="3" borderId="3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14" fontId="6" fillId="0" borderId="1" xfId="0" applyNumberFormat="1" applyFont="1" applyBorder="1" applyAlignment="1">
      <alignment vertical="center" shrinkToFit="1"/>
    </xf>
    <xf numFmtId="176" fontId="6" fillId="0" borderId="1" xfId="0" applyNumberFormat="1" applyFont="1" applyBorder="1" applyAlignment="1">
      <alignment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14" fontId="6" fillId="0" borderId="2" xfId="0" applyNumberFormat="1" applyFont="1" applyBorder="1" applyAlignment="1">
      <alignment vertical="center" shrinkToFit="1"/>
    </xf>
    <xf numFmtId="176" fontId="6" fillId="0" borderId="2" xfId="0" applyNumberFormat="1" applyFont="1" applyBorder="1" applyAlignment="1">
      <alignment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6" fillId="0" borderId="13" xfId="0" applyFont="1" applyBorder="1" applyAlignment="1">
      <alignment vertical="center" shrinkToFit="1"/>
    </xf>
    <xf numFmtId="14" fontId="6" fillId="0" borderId="13" xfId="0" applyNumberFormat="1" applyFont="1" applyBorder="1" applyAlignment="1">
      <alignment vertical="center" shrinkToFit="1"/>
    </xf>
    <xf numFmtId="176" fontId="6" fillId="0" borderId="13" xfId="0" applyNumberFormat="1" applyFont="1" applyBorder="1" applyAlignment="1">
      <alignment vertical="center" shrinkToFit="1"/>
    </xf>
    <xf numFmtId="176" fontId="6" fillId="0" borderId="13" xfId="0" applyNumberFormat="1" applyFont="1" applyBorder="1" applyAlignment="1">
      <alignment horizontal="center" vertical="center" shrinkToFit="1"/>
    </xf>
    <xf numFmtId="0" fontId="19" fillId="0" borderId="0" xfId="0" applyFont="1">
      <alignment vertical="center"/>
    </xf>
    <xf numFmtId="177" fontId="20" fillId="0" borderId="13" xfId="0" applyNumberFormat="1" applyFont="1" applyBorder="1" applyAlignment="1">
      <alignment vertical="center" shrinkToFit="1"/>
    </xf>
    <xf numFmtId="0" fontId="8" fillId="5" borderId="0" xfId="0" applyFont="1" applyFill="1" applyBorder="1" applyAlignment="1">
      <alignment horizontal="center" wrapText="1"/>
    </xf>
    <xf numFmtId="0" fontId="8" fillId="5" borderId="80" xfId="0" applyFont="1" applyFill="1" applyBorder="1" applyAlignment="1">
      <alignment horizontal="center"/>
    </xf>
    <xf numFmtId="12" fontId="18" fillId="9" borderId="1" xfId="0" applyNumberFormat="1" applyFont="1" applyFill="1" applyBorder="1" applyAlignment="1">
      <alignment horizontal="center" vertical="center" shrinkToFit="1"/>
    </xf>
    <xf numFmtId="177" fontId="21" fillId="6" borderId="32" xfId="0" applyNumberFormat="1" applyFont="1" applyFill="1" applyBorder="1" applyAlignment="1">
      <alignment horizontal="center" vertical="center"/>
    </xf>
    <xf numFmtId="177" fontId="6" fillId="0" borderId="46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177" fontId="22" fillId="6" borderId="81" xfId="0" applyNumberFormat="1" applyFont="1" applyFill="1" applyBorder="1" applyAlignment="1" applyProtection="1">
      <alignment vertical="center" shrinkToFit="1"/>
    </xf>
    <xf numFmtId="14" fontId="22" fillId="6" borderId="82" xfId="0" applyNumberFormat="1" applyFont="1" applyFill="1" applyBorder="1" applyAlignment="1" applyProtection="1">
      <alignment vertical="center" shrinkToFit="1"/>
    </xf>
    <xf numFmtId="177" fontId="23" fillId="6" borderId="82" xfId="0" applyNumberFormat="1" applyFont="1" applyFill="1" applyBorder="1" applyAlignment="1" applyProtection="1">
      <alignment vertical="center" shrinkToFit="1"/>
    </xf>
    <xf numFmtId="177" fontId="23" fillId="6" borderId="83" xfId="0" applyNumberFormat="1" applyFont="1" applyFill="1" applyBorder="1" applyAlignment="1" applyProtection="1">
      <alignment vertical="center" shrinkToFit="1"/>
    </xf>
    <xf numFmtId="177" fontId="14" fillId="0" borderId="0" xfId="0" applyNumberFormat="1" applyFont="1" applyFill="1" applyAlignment="1">
      <alignment vertical="center" wrapText="1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>
      <alignment vertical="center"/>
    </xf>
    <xf numFmtId="0" fontId="6" fillId="0" borderId="87" xfId="0" applyFont="1" applyBorder="1">
      <alignment vertical="center"/>
    </xf>
    <xf numFmtId="0" fontId="6" fillId="0" borderId="88" xfId="0" applyFont="1" applyBorder="1">
      <alignment vertical="center"/>
    </xf>
    <xf numFmtId="176" fontId="8" fillId="5" borderId="21" xfId="0" applyNumberFormat="1" applyFont="1" applyFill="1" applyBorder="1" applyAlignment="1">
      <alignment horizontal="center" vertical="center"/>
    </xf>
    <xf numFmtId="176" fontId="6" fillId="3" borderId="5" xfId="0" applyNumberFormat="1" applyFont="1" applyFill="1" applyBorder="1">
      <alignment vertical="center"/>
    </xf>
    <xf numFmtId="176" fontId="6" fillId="0" borderId="84" xfId="0" applyNumberFormat="1" applyFont="1" applyBorder="1">
      <alignment vertical="center"/>
    </xf>
    <xf numFmtId="176" fontId="6" fillId="0" borderId="89" xfId="0" applyNumberFormat="1" applyFont="1" applyBorder="1">
      <alignment vertical="center"/>
    </xf>
    <xf numFmtId="176" fontId="6" fillId="0" borderId="24" xfId="0" applyNumberFormat="1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>
      <alignment vertical="center"/>
    </xf>
    <xf numFmtId="177" fontId="13" fillId="0" borderId="5" xfId="0" applyNumberFormat="1" applyFont="1" applyFill="1" applyBorder="1" applyAlignment="1">
      <alignment vertical="center" shrinkToFit="1"/>
    </xf>
    <xf numFmtId="177" fontId="13" fillId="0" borderId="4" xfId="0" applyNumberFormat="1" applyFont="1" applyFill="1" applyBorder="1" applyAlignment="1">
      <alignment vertical="center" shrinkToFit="1"/>
    </xf>
    <xf numFmtId="177" fontId="6" fillId="0" borderId="38" xfId="0" applyNumberFormat="1" applyFont="1" applyFill="1" applyBorder="1" applyAlignment="1">
      <alignment horizontal="center" vertical="center"/>
    </xf>
    <xf numFmtId="177" fontId="6" fillId="0" borderId="39" xfId="0" applyNumberFormat="1" applyFont="1" applyFill="1" applyBorder="1" applyAlignment="1">
      <alignment horizontal="center" vertical="center"/>
    </xf>
    <xf numFmtId="177" fontId="6" fillId="0" borderId="40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17" fillId="0" borderId="15" xfId="0" applyNumberFormat="1" applyFont="1" applyFill="1" applyBorder="1" applyAlignment="1">
      <alignment horizontal="center" vertical="center"/>
    </xf>
    <xf numFmtId="177" fontId="17" fillId="0" borderId="24" xfId="0" applyNumberFormat="1" applyFont="1" applyFill="1" applyBorder="1" applyAlignment="1">
      <alignment horizontal="center" vertical="center"/>
    </xf>
    <xf numFmtId="178" fontId="4" fillId="0" borderId="24" xfId="0" applyNumberFormat="1" applyFont="1" applyFill="1" applyBorder="1" applyAlignment="1">
      <alignment horizontal="center" vertical="center" shrinkToFit="1"/>
    </xf>
    <xf numFmtId="178" fontId="4" fillId="0" borderId="16" xfId="0" applyNumberFormat="1" applyFont="1" applyFill="1" applyBorder="1" applyAlignment="1">
      <alignment horizontal="center" vertical="center" shrinkToFit="1"/>
    </xf>
    <xf numFmtId="177" fontId="14" fillId="0" borderId="57" xfId="0" applyNumberFormat="1" applyFont="1" applyFill="1" applyBorder="1" applyAlignment="1">
      <alignment vertical="center" wrapText="1"/>
    </xf>
    <xf numFmtId="177" fontId="14" fillId="0" borderId="0" xfId="0" applyNumberFormat="1" applyFont="1" applyFill="1" applyAlignment="1">
      <alignment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176" fontId="8" fillId="5" borderId="79" xfId="0" applyNumberFormat="1" applyFont="1" applyFill="1" applyBorder="1" applyAlignment="1">
      <alignment horizontal="center" vertical="center"/>
    </xf>
    <xf numFmtId="176" fontId="8" fillId="5" borderId="20" xfId="0" applyNumberFormat="1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78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4">
    <dxf>
      <font>
        <b/>
        <i val="0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533401</xdr:colOff>
      <xdr:row>5</xdr:row>
      <xdr:rowOff>66675</xdr:rowOff>
    </xdr:from>
    <xdr:to>
      <xdr:col>3</xdr:col>
      <xdr:colOff>619125</xdr:colOff>
      <xdr:row>6</xdr:row>
      <xdr:rowOff>523875</xdr:rowOff>
    </xdr:to>
    <xdr:grpSp>
      <xdr:nvGrpSpPr>
        <xdr:cNvPr id="2" name="グループ化 1"/>
        <xdr:cNvGrpSpPr/>
      </xdr:nvGrpSpPr>
      <xdr:grpSpPr>
        <a:xfrm>
          <a:off x="733426" y="1104900"/>
          <a:ext cx="2009774" cy="695325"/>
          <a:chOff x="361950" y="866775"/>
          <a:chExt cx="1809749" cy="695324"/>
        </a:xfrm>
      </xdr:grpSpPr>
      <xdr:sp macro="" textlink="">
        <xdr:nvSpPr>
          <xdr:cNvPr id="3" name="下矢印 2"/>
          <xdr:cNvSpPr/>
        </xdr:nvSpPr>
        <xdr:spPr>
          <a:xfrm>
            <a:off x="911644" y="1333498"/>
            <a:ext cx="278715" cy="228601"/>
          </a:xfrm>
          <a:prstGeom prst="downArrow">
            <a:avLst/>
          </a:prstGeom>
          <a:noFill/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4" name="グループ化 3"/>
          <xdr:cNvGrpSpPr/>
        </xdr:nvGrpSpPr>
        <xdr:grpSpPr>
          <a:xfrm>
            <a:off x="361950" y="866775"/>
            <a:ext cx="1809749" cy="514349"/>
            <a:chOff x="28576" y="923925"/>
            <a:chExt cx="1346033" cy="514349"/>
          </a:xfrm>
          <a:solidFill>
            <a:schemeClr val="bg1"/>
          </a:solidFill>
        </xdr:grpSpPr>
        <xdr:sp macro="" textlink="">
          <xdr:nvSpPr>
            <xdr:cNvPr id="5" name="角丸四角形 4"/>
            <xdr:cNvSpPr/>
          </xdr:nvSpPr>
          <xdr:spPr>
            <a:xfrm>
              <a:off x="28576" y="923925"/>
              <a:ext cx="1346033" cy="514349"/>
            </a:xfrm>
            <a:prstGeom prst="roundRect">
              <a:avLst/>
            </a:prstGeom>
            <a:grp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" name="テキスト ボックス 5"/>
            <xdr:cNvSpPr txBox="1"/>
          </xdr:nvSpPr>
          <xdr:spPr>
            <a:xfrm>
              <a:off x="72574" y="981074"/>
              <a:ext cx="1253982" cy="371474"/>
            </a:xfrm>
            <a:prstGeom prst="rect">
              <a:avLst/>
            </a:prstGeom>
            <a:grp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>
                <a:lnSpc>
                  <a:spcPts val="1300"/>
                </a:lnSpc>
              </a:pPr>
              <a:r>
                <a:rPr kumimoji="1" lang="ja-JP" altLang="en-US" sz="1100"/>
                <a:t>「被保険者」または「その他の健康保険」を選択してください</a:t>
              </a:r>
              <a:endParaRPr kumimoji="1" lang="en-US" altLang="ja-JP" sz="1100"/>
            </a:p>
          </xdr:txBody>
        </xdr:sp>
      </xdr:grpSp>
    </xdr:grpSp>
    <xdr:clientData/>
  </xdr:twoCellAnchor>
  <xdr:twoCellAnchor>
    <xdr:from>
      <xdr:col>4</xdr:col>
      <xdr:colOff>523874</xdr:colOff>
      <xdr:row>5</xdr:row>
      <xdr:rowOff>57150</xdr:rowOff>
    </xdr:from>
    <xdr:to>
      <xdr:col>7</xdr:col>
      <xdr:colOff>542924</xdr:colOff>
      <xdr:row>6</xdr:row>
      <xdr:rowOff>523875</xdr:rowOff>
    </xdr:to>
    <xdr:grpSp>
      <xdr:nvGrpSpPr>
        <xdr:cNvPr id="7" name="グループ化 6"/>
        <xdr:cNvGrpSpPr/>
      </xdr:nvGrpSpPr>
      <xdr:grpSpPr>
        <a:xfrm>
          <a:off x="3609974" y="1095375"/>
          <a:ext cx="2905125" cy="704850"/>
          <a:chOff x="3724275" y="847725"/>
          <a:chExt cx="2667000" cy="695326"/>
        </a:xfrm>
      </xdr:grpSpPr>
      <xdr:sp macro="" textlink="">
        <xdr:nvSpPr>
          <xdr:cNvPr id="8" name="下矢印 7"/>
          <xdr:cNvSpPr/>
        </xdr:nvSpPr>
        <xdr:spPr>
          <a:xfrm>
            <a:off x="5306379" y="1333501"/>
            <a:ext cx="305964" cy="209550"/>
          </a:xfrm>
          <a:prstGeom prst="downArrow">
            <a:avLst/>
          </a:prstGeom>
          <a:noFill/>
          <a:ln w="12700" cap="flat" cmpd="sng" algn="ctr">
            <a:solidFill>
              <a:srgbClr val="4F81BD">
                <a:shade val="50000"/>
              </a:srgbClr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grpSp>
        <xdr:nvGrpSpPr>
          <xdr:cNvPr id="9" name="グループ化 8"/>
          <xdr:cNvGrpSpPr/>
        </xdr:nvGrpSpPr>
        <xdr:grpSpPr>
          <a:xfrm>
            <a:off x="3724275" y="847725"/>
            <a:ext cx="2667000" cy="504365"/>
            <a:chOff x="28576" y="923925"/>
            <a:chExt cx="1346033" cy="466725"/>
          </a:xfrm>
        </xdr:grpSpPr>
        <xdr:sp macro="" textlink="">
          <xdr:nvSpPr>
            <xdr:cNvPr id="10" name="角丸四角形 9"/>
            <xdr:cNvSpPr/>
          </xdr:nvSpPr>
          <xdr:spPr>
            <a:xfrm>
              <a:off x="28576" y="923925"/>
              <a:ext cx="1346033" cy="466725"/>
            </a:xfrm>
            <a:prstGeom prst="roundRect">
              <a:avLst/>
            </a:prstGeom>
            <a:solidFill>
              <a:schemeClr val="bg1"/>
            </a:solidFill>
            <a:ln w="12700" cap="flat" cmpd="sng" algn="ctr">
              <a:solidFill>
                <a:sysClr val="windowText" lastClr="000000"/>
              </a:solidFill>
              <a:prstDash val="solid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ja-JP" altLang="en-US" sz="1100" b="0" i="0" u="none" strike="noStrike" kern="0" cap="none" spc="0" normalizeH="0" baseline="0" noProof="0" smtClean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endParaRPr>
            </a:p>
          </xdr:txBody>
        </xdr:sp>
        <xdr:sp macro="" textlink="">
          <xdr:nvSpPr>
            <xdr:cNvPr id="11" name="テキスト ボックス 10"/>
            <xdr:cNvSpPr txBox="1"/>
          </xdr:nvSpPr>
          <xdr:spPr>
            <a:xfrm>
              <a:off x="72574" y="981075"/>
              <a:ext cx="1253982" cy="377603"/>
            </a:xfrm>
            <a:prstGeom prst="rect">
              <a:avLst/>
            </a:prstGeom>
            <a:solidFill>
              <a:sysClr val="window" lastClr="FFFFFF"/>
            </a:solidFill>
            <a:ln w="9525" cmpd="sng">
              <a:noFill/>
            </a:ln>
            <a:effectLst/>
          </xdr:spPr>
          <xdr:txBody>
            <a:bodyPr vertOverflow="clip" horzOverflow="clip" wrap="square" lIns="0" tIns="0" rIns="0" bIns="0" rtlCol="0" anchor="ctr" anchorCtr="1"/>
            <a:lstStyle/>
            <a:p>
              <a:pPr marL="0" marR="0" lvl="0" indent="0" defTabSz="914400" eaLnBrk="1" fontAlgn="auto" latinLnBrk="0" hangingPunct="1">
                <a:lnSpc>
                  <a:spcPts val="13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100" b="0" i="0" u="none" strike="noStrike" kern="0" cap="none" spc="0" normalizeH="0" baseline="0" noProof="0" smtClean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ＭＳ Ｐゴシック" panose="020B0600070205080204" pitchFamily="50" charset="-128"/>
                  <a:cs typeface="+mn-cs"/>
                </a:rPr>
                <a:t>マイナス所得は「その他所得」に「</a:t>
              </a:r>
              <a:r>
                <a:rPr kumimoji="1" lang="en-US" altLang="ja-JP" sz="1100" b="0" i="0" u="none" strike="noStrike" kern="0" cap="none" spc="0" normalizeH="0" baseline="0" noProof="0" smtClean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ＭＳ Ｐゴシック" panose="020B0600070205080204" pitchFamily="50" charset="-128"/>
                  <a:cs typeface="+mn-cs"/>
                </a:rPr>
                <a:t>0</a:t>
              </a:r>
              <a:r>
                <a:rPr kumimoji="1" lang="ja-JP" altLang="en-US" sz="1100" b="0" i="0" u="none" strike="noStrike" kern="0" cap="none" spc="0" normalizeH="0" baseline="0" noProof="0" smtClean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ＭＳ Ｐゴシック" panose="020B0600070205080204" pitchFamily="50" charset="-128"/>
                  <a:cs typeface="+mn-cs"/>
                </a:rPr>
                <a:t>」円で</a:t>
              </a:r>
              <a:endParaRPr kumimoji="1" lang="en-US" altLang="ja-JP" sz="1100" b="0" i="0" u="none" strike="noStrike" kern="0" cap="none" spc="0" normalizeH="0" baseline="0" noProof="0" smtClean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ts val="13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100" b="0" i="0" u="none" strike="noStrike" kern="0" cap="none" spc="0" normalizeH="0" baseline="0" noProof="0" smtClean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ＭＳ Ｐゴシック" panose="020B0600070205080204" pitchFamily="50" charset="-128"/>
                  <a:cs typeface="+mn-cs"/>
                </a:rPr>
                <a:t>入力してください</a:t>
              </a:r>
              <a:endParaRPr kumimoji="1" lang="en-US" altLang="ja-JP" sz="1100" b="0" i="0" u="none" strike="noStrike" kern="0" cap="none" spc="0" normalizeH="0" baseline="0" noProof="0" smtClean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2"/>
  <sheetViews>
    <sheetView showGridLines="0" tabSelected="1" workbookViewId="0">
      <selection activeCell="C10" sqref="C10"/>
    </sheetView>
  </sheetViews>
  <sheetFormatPr defaultColWidth="9" defaultRowHeight="13.5" x14ac:dyDescent="0.15"/>
  <cols>
    <col min="1" max="1" width="2.625" style="69" customWidth="1"/>
    <col min="2" max="14" width="12.625" style="69" customWidth="1"/>
    <col min="15" max="15" width="6.625" style="69" customWidth="1"/>
    <col min="16" max="16" width="2.625" style="69" customWidth="1"/>
    <col min="17" max="20" width="1.625" style="69" customWidth="1"/>
    <col min="21" max="16384" width="9" style="69"/>
  </cols>
  <sheetData>
    <row r="1" spans="1:16" ht="6" customHeight="1" x14ac:dyDescent="0.1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20.100000000000001" customHeight="1" x14ac:dyDescent="0.15">
      <c r="A2" s="71"/>
      <c r="B2" s="87" t="s">
        <v>104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6" ht="18.95" customHeight="1" x14ac:dyDescent="0.15">
      <c r="A3" s="71"/>
      <c r="B3" s="88" t="s">
        <v>80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6" ht="18.95" customHeight="1" x14ac:dyDescent="0.15">
      <c r="A4" s="71"/>
      <c r="B4" s="88" t="s">
        <v>100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ht="18.95" customHeight="1" x14ac:dyDescent="0.15">
      <c r="A5" s="71"/>
      <c r="B5" s="88" t="s">
        <v>103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6" ht="18.95" customHeight="1" x14ac:dyDescent="0.15">
      <c r="A6" s="71"/>
      <c r="B6" s="8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6" ht="42" customHeight="1" x14ac:dyDescent="0.15">
      <c r="A7" s="71"/>
      <c r="B7" s="8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s="70" customFormat="1" ht="27" x14ac:dyDescent="0.15">
      <c r="A8" s="72"/>
      <c r="B8" s="73"/>
      <c r="C8" s="74" t="s">
        <v>76</v>
      </c>
      <c r="D8" s="181" t="s">
        <v>102</v>
      </c>
      <c r="E8" s="75" t="s">
        <v>20</v>
      </c>
      <c r="F8" s="75" t="s">
        <v>21</v>
      </c>
      <c r="G8" s="76" t="s">
        <v>22</v>
      </c>
      <c r="H8" s="72"/>
      <c r="I8" s="182" t="s">
        <v>90</v>
      </c>
      <c r="J8" s="183"/>
      <c r="K8" s="72"/>
      <c r="L8" s="182" t="s">
        <v>90</v>
      </c>
      <c r="M8" s="183"/>
      <c r="N8" s="72"/>
      <c r="O8" s="72"/>
      <c r="P8" s="72"/>
    </row>
    <row r="9" spans="1:16" s="70" customFormat="1" ht="18.95" customHeight="1" x14ac:dyDescent="0.15">
      <c r="A9" s="72"/>
      <c r="B9" s="180" t="s">
        <v>101</v>
      </c>
      <c r="C9" s="184" t="s">
        <v>24</v>
      </c>
      <c r="D9" s="185">
        <v>18415</v>
      </c>
      <c r="E9" s="186">
        <v>0</v>
      </c>
      <c r="F9" s="186">
        <v>650000</v>
      </c>
      <c r="G9" s="187">
        <v>0</v>
      </c>
      <c r="H9" s="72"/>
      <c r="I9" s="182"/>
      <c r="J9" s="183"/>
      <c r="K9" s="72"/>
      <c r="L9" s="182"/>
      <c r="M9" s="183"/>
      <c r="N9" s="72"/>
      <c r="O9" s="72"/>
      <c r="P9" s="72"/>
    </row>
    <row r="10" spans="1:16" ht="18.95" customHeight="1" x14ac:dyDescent="0.15">
      <c r="A10" s="71"/>
      <c r="B10" s="77" t="s">
        <v>71</v>
      </c>
      <c r="C10" s="131"/>
      <c r="D10" s="150"/>
      <c r="E10" s="132"/>
      <c r="F10" s="132"/>
      <c r="G10" s="133"/>
      <c r="H10" s="71" t="s">
        <v>81</v>
      </c>
      <c r="I10" s="71"/>
      <c r="J10" s="71"/>
      <c r="K10" s="71"/>
      <c r="L10" s="71"/>
      <c r="M10" s="71"/>
      <c r="N10" s="71"/>
      <c r="O10" s="71"/>
      <c r="P10" s="71"/>
    </row>
    <row r="11" spans="1:16" ht="18.95" customHeight="1" x14ac:dyDescent="0.15">
      <c r="A11" s="71"/>
      <c r="B11" s="78" t="s">
        <v>2</v>
      </c>
      <c r="C11" s="134"/>
      <c r="D11" s="151"/>
      <c r="E11" s="135"/>
      <c r="F11" s="135"/>
      <c r="G11" s="136"/>
      <c r="H11" s="71"/>
      <c r="I11" s="71"/>
      <c r="J11" s="71"/>
      <c r="K11" s="71"/>
      <c r="L11" s="71"/>
      <c r="M11" s="71"/>
      <c r="N11" s="71"/>
      <c r="O11" s="71"/>
      <c r="P11" s="71"/>
    </row>
    <row r="12" spans="1:16" ht="18.95" customHeight="1" x14ac:dyDescent="0.15">
      <c r="A12" s="71"/>
      <c r="B12" s="78" t="s">
        <v>3</v>
      </c>
      <c r="C12" s="134"/>
      <c r="D12" s="151"/>
      <c r="E12" s="135"/>
      <c r="F12" s="135"/>
      <c r="G12" s="136"/>
      <c r="H12" s="71"/>
      <c r="I12" s="71"/>
      <c r="J12" s="71"/>
      <c r="K12" s="71"/>
      <c r="L12" s="71"/>
      <c r="M12" s="71"/>
      <c r="N12" s="71"/>
      <c r="O12" s="71"/>
      <c r="P12" s="71"/>
    </row>
    <row r="13" spans="1:16" ht="18.95" customHeight="1" x14ac:dyDescent="0.15">
      <c r="A13" s="71"/>
      <c r="B13" s="78" t="s">
        <v>4</v>
      </c>
      <c r="C13" s="134"/>
      <c r="D13" s="151"/>
      <c r="E13" s="135"/>
      <c r="F13" s="135"/>
      <c r="G13" s="136"/>
      <c r="H13" s="71"/>
      <c r="I13" s="71"/>
      <c r="J13" s="71"/>
      <c r="K13" s="71"/>
      <c r="L13" s="71"/>
      <c r="M13" s="71"/>
      <c r="N13" s="71"/>
      <c r="O13" s="71"/>
      <c r="P13" s="71"/>
    </row>
    <row r="14" spans="1:16" ht="18.95" customHeight="1" x14ac:dyDescent="0.15">
      <c r="A14" s="71"/>
      <c r="B14" s="78" t="s">
        <v>5</v>
      </c>
      <c r="C14" s="134"/>
      <c r="D14" s="151"/>
      <c r="E14" s="135"/>
      <c r="F14" s="135"/>
      <c r="G14" s="136"/>
      <c r="H14" s="71"/>
      <c r="I14" s="71"/>
      <c r="J14" s="71"/>
      <c r="K14" s="71"/>
      <c r="L14" s="71"/>
      <c r="M14" s="71"/>
      <c r="N14" s="71"/>
      <c r="O14" s="71"/>
      <c r="P14" s="71"/>
    </row>
    <row r="15" spans="1:16" ht="18.95" customHeight="1" x14ac:dyDescent="0.15">
      <c r="A15" s="71"/>
      <c r="B15" s="78" t="s">
        <v>6</v>
      </c>
      <c r="C15" s="134"/>
      <c r="D15" s="151"/>
      <c r="E15" s="135"/>
      <c r="F15" s="135"/>
      <c r="G15" s="136"/>
      <c r="H15" s="71"/>
      <c r="I15" s="71"/>
      <c r="J15" s="71"/>
      <c r="K15" s="71"/>
      <c r="L15" s="71"/>
      <c r="M15" s="71"/>
      <c r="N15" s="71"/>
      <c r="O15" s="71"/>
      <c r="P15" s="71"/>
    </row>
    <row r="16" spans="1:16" ht="18.95" customHeight="1" x14ac:dyDescent="0.15">
      <c r="A16" s="71"/>
      <c r="B16" s="79" t="s">
        <v>77</v>
      </c>
      <c r="C16" s="137"/>
      <c r="D16" s="152"/>
      <c r="E16" s="138"/>
      <c r="F16" s="138"/>
      <c r="G16" s="139"/>
      <c r="H16" s="71"/>
      <c r="I16" s="71"/>
      <c r="J16" s="71"/>
      <c r="K16" s="71"/>
      <c r="L16" s="71"/>
      <c r="M16" s="71"/>
      <c r="N16" s="71"/>
      <c r="O16" s="71"/>
      <c r="P16" s="71"/>
    </row>
    <row r="17" spans="1:16" ht="12.75" customHeight="1" thickBot="1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</row>
    <row r="18" spans="1:16" ht="21.95" customHeight="1" thickBot="1" x14ac:dyDescent="0.2">
      <c r="A18" s="71"/>
      <c r="B18" s="206" t="s">
        <v>19</v>
      </c>
      <c r="C18" s="207"/>
      <c r="D18" s="208">
        <f>IFERROR(計算過程!AN12,"-")</f>
        <v>0</v>
      </c>
      <c r="E18" s="209"/>
      <c r="F18" s="210" t="s">
        <v>74</v>
      </c>
      <c r="G18" s="211"/>
      <c r="H18" s="211"/>
      <c r="I18" s="211"/>
      <c r="J18" s="211"/>
      <c r="K18" s="211"/>
      <c r="L18" s="188"/>
      <c r="M18" s="188"/>
      <c r="N18" s="188"/>
      <c r="O18" s="71"/>
      <c r="P18" s="71"/>
    </row>
    <row r="19" spans="1:16" ht="18.95" customHeight="1" x14ac:dyDescent="0.15">
      <c r="A19" s="71"/>
      <c r="B19" s="71" t="s">
        <v>75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</row>
    <row r="20" spans="1:16" s="70" customFormat="1" ht="18.95" customHeight="1" x14ac:dyDescent="0.15">
      <c r="A20" s="72"/>
      <c r="B20" s="80" t="s">
        <v>73</v>
      </c>
      <c r="C20" s="202" t="s">
        <v>12</v>
      </c>
      <c r="D20" s="203"/>
      <c r="E20" s="204"/>
      <c r="F20" s="202" t="s">
        <v>86</v>
      </c>
      <c r="G20" s="203"/>
      <c r="H20" s="204"/>
      <c r="I20" s="202" t="s">
        <v>13</v>
      </c>
      <c r="J20" s="203"/>
      <c r="K20" s="204"/>
      <c r="L20" s="202" t="s">
        <v>105</v>
      </c>
      <c r="M20" s="203"/>
      <c r="N20" s="204"/>
      <c r="O20" s="72"/>
      <c r="P20" s="72"/>
    </row>
    <row r="21" spans="1:16" s="70" customFormat="1" ht="18.95" customHeight="1" x14ac:dyDescent="0.15">
      <c r="A21" s="72"/>
      <c r="B21" s="99" t="str">
        <f>計算過程!$Q$22</f>
        <v>７割軽減</v>
      </c>
      <c r="C21" s="81" t="s">
        <v>18</v>
      </c>
      <c r="D21" s="82" t="s">
        <v>15</v>
      </c>
      <c r="E21" s="83" t="s">
        <v>16</v>
      </c>
      <c r="F21" s="81" t="s">
        <v>18</v>
      </c>
      <c r="G21" s="82" t="s">
        <v>15</v>
      </c>
      <c r="H21" s="83" t="s">
        <v>16</v>
      </c>
      <c r="I21" s="81" t="s">
        <v>18</v>
      </c>
      <c r="J21" s="82" t="s">
        <v>15</v>
      </c>
      <c r="K21" s="83" t="s">
        <v>16</v>
      </c>
      <c r="L21" s="81" t="s">
        <v>18</v>
      </c>
      <c r="M21" s="82" t="s">
        <v>15</v>
      </c>
      <c r="N21" s="83" t="s">
        <v>16</v>
      </c>
      <c r="O21" s="72"/>
      <c r="P21" s="72"/>
    </row>
    <row r="22" spans="1:16" ht="18.95" customHeight="1" x14ac:dyDescent="0.15">
      <c r="A22" s="71"/>
      <c r="B22" s="84" t="s">
        <v>71</v>
      </c>
      <c r="C22" s="92" t="str">
        <f>計算過程!V5</f>
        <v>-</v>
      </c>
      <c r="D22" s="89" t="str">
        <f>計算過程!W5</f>
        <v>-</v>
      </c>
      <c r="E22" s="90" t="str">
        <f>計算過程!X5</f>
        <v>-</v>
      </c>
      <c r="F22" s="92" t="str">
        <f>計算過程!Z5</f>
        <v>-</v>
      </c>
      <c r="G22" s="89" t="str">
        <f>計算過程!AA5</f>
        <v>-</v>
      </c>
      <c r="H22" s="90" t="str">
        <f>計算過程!AB5</f>
        <v>-</v>
      </c>
      <c r="I22" s="92" t="str">
        <f>計算過程!AE5</f>
        <v>-</v>
      </c>
      <c r="J22" s="89" t="str">
        <f>計算過程!AF5</f>
        <v>-</v>
      </c>
      <c r="K22" s="90" t="str">
        <f>計算過程!AG5</f>
        <v>-</v>
      </c>
      <c r="L22" s="92" t="str">
        <f>計算過程!AJ5</f>
        <v>-</v>
      </c>
      <c r="M22" s="89" t="str">
        <f>計算過程!AK5</f>
        <v>-</v>
      </c>
      <c r="N22" s="90" t="str">
        <f>計算過程!AL5</f>
        <v>-</v>
      </c>
      <c r="O22" s="71"/>
      <c r="P22" s="71"/>
    </row>
    <row r="23" spans="1:16" ht="18.95" customHeight="1" x14ac:dyDescent="0.15">
      <c r="A23" s="71"/>
      <c r="B23" s="85" t="s">
        <v>2</v>
      </c>
      <c r="C23" s="93" t="str">
        <f>計算過程!V6</f>
        <v>-</v>
      </c>
      <c r="D23" s="91" t="str">
        <f>計算過程!W6</f>
        <v>-</v>
      </c>
      <c r="E23" s="129"/>
      <c r="F23" s="93" t="str">
        <f>計算過程!Z6</f>
        <v>-</v>
      </c>
      <c r="G23" s="91" t="str">
        <f>計算過程!AA6</f>
        <v>-</v>
      </c>
      <c r="H23" s="129"/>
      <c r="I23" s="93" t="str">
        <f>計算過程!AE6</f>
        <v>-</v>
      </c>
      <c r="J23" s="91" t="str">
        <f>計算過程!AF6</f>
        <v>-</v>
      </c>
      <c r="K23" s="147"/>
      <c r="L23" s="93" t="str">
        <f>計算過程!AJ6</f>
        <v>-</v>
      </c>
      <c r="M23" s="91" t="str">
        <f>計算過程!AK6</f>
        <v>-</v>
      </c>
      <c r="N23" s="147"/>
      <c r="O23" s="71"/>
      <c r="P23" s="71"/>
    </row>
    <row r="24" spans="1:16" ht="18.95" customHeight="1" x14ac:dyDescent="0.15">
      <c r="A24" s="71"/>
      <c r="B24" s="85" t="s">
        <v>3</v>
      </c>
      <c r="C24" s="93" t="str">
        <f>計算過程!V7</f>
        <v>-</v>
      </c>
      <c r="D24" s="91" t="str">
        <f>計算過程!W7</f>
        <v>-</v>
      </c>
      <c r="E24" s="129"/>
      <c r="F24" s="93" t="str">
        <f>計算過程!Z7</f>
        <v>-</v>
      </c>
      <c r="G24" s="91" t="str">
        <f>計算過程!AA7</f>
        <v>-</v>
      </c>
      <c r="H24" s="129"/>
      <c r="I24" s="93" t="str">
        <f>計算過程!AE7</f>
        <v>-</v>
      </c>
      <c r="J24" s="91" t="str">
        <f>計算過程!AF7</f>
        <v>-</v>
      </c>
      <c r="K24" s="147"/>
      <c r="L24" s="93" t="str">
        <f>計算過程!AJ7</f>
        <v>-</v>
      </c>
      <c r="M24" s="91" t="str">
        <f>計算過程!AK7</f>
        <v>-</v>
      </c>
      <c r="N24" s="147"/>
      <c r="O24" s="71"/>
      <c r="P24" s="71"/>
    </row>
    <row r="25" spans="1:16" ht="18.95" customHeight="1" x14ac:dyDescent="0.15">
      <c r="A25" s="71"/>
      <c r="B25" s="85" t="s">
        <v>4</v>
      </c>
      <c r="C25" s="93" t="str">
        <f>計算過程!V8</f>
        <v>-</v>
      </c>
      <c r="D25" s="91" t="str">
        <f>計算過程!W8</f>
        <v>-</v>
      </c>
      <c r="E25" s="129"/>
      <c r="F25" s="93" t="str">
        <f>計算過程!Z8</f>
        <v>-</v>
      </c>
      <c r="G25" s="91" t="str">
        <f>計算過程!AA8</f>
        <v>-</v>
      </c>
      <c r="H25" s="129"/>
      <c r="I25" s="93" t="str">
        <f>計算過程!AE8</f>
        <v>-</v>
      </c>
      <c r="J25" s="91" t="str">
        <f>計算過程!AF8</f>
        <v>-</v>
      </c>
      <c r="K25" s="147"/>
      <c r="L25" s="93" t="str">
        <f>計算過程!AJ8</f>
        <v>-</v>
      </c>
      <c r="M25" s="91" t="str">
        <f>計算過程!AK9</f>
        <v>-</v>
      </c>
      <c r="N25" s="147"/>
      <c r="O25" s="71"/>
      <c r="P25" s="71"/>
    </row>
    <row r="26" spans="1:16" ht="18.95" customHeight="1" x14ac:dyDescent="0.15">
      <c r="A26" s="71"/>
      <c r="B26" s="85" t="s">
        <v>5</v>
      </c>
      <c r="C26" s="93" t="str">
        <f>計算過程!V9</f>
        <v>-</v>
      </c>
      <c r="D26" s="91" t="str">
        <f>計算過程!W9</f>
        <v>-</v>
      </c>
      <c r="E26" s="129"/>
      <c r="F26" s="93" t="str">
        <f>計算過程!Z9</f>
        <v>-</v>
      </c>
      <c r="G26" s="91" t="str">
        <f>計算過程!AA9</f>
        <v>-</v>
      </c>
      <c r="H26" s="129"/>
      <c r="I26" s="93" t="str">
        <f>計算過程!AE9</f>
        <v>-</v>
      </c>
      <c r="J26" s="91" t="str">
        <f>計算過程!AF9</f>
        <v>-</v>
      </c>
      <c r="K26" s="147"/>
      <c r="L26" s="93" t="str">
        <f>計算過程!AJ9</f>
        <v>-</v>
      </c>
      <c r="M26" s="91" t="str">
        <f>計算過程!AK10</f>
        <v>-</v>
      </c>
      <c r="N26" s="147"/>
      <c r="O26" s="71"/>
      <c r="P26" s="71"/>
    </row>
    <row r="27" spans="1:16" ht="18.95" customHeight="1" x14ac:dyDescent="0.15">
      <c r="A27" s="71"/>
      <c r="B27" s="85" t="s">
        <v>6</v>
      </c>
      <c r="C27" s="93" t="str">
        <f>計算過程!V10</f>
        <v>-</v>
      </c>
      <c r="D27" s="91" t="str">
        <f>計算過程!W10</f>
        <v>-</v>
      </c>
      <c r="E27" s="129"/>
      <c r="F27" s="93" t="str">
        <f>計算過程!Z10</f>
        <v>-</v>
      </c>
      <c r="G27" s="91" t="str">
        <f>計算過程!AA10</f>
        <v>-</v>
      </c>
      <c r="H27" s="129"/>
      <c r="I27" s="93" t="str">
        <f>計算過程!AE10</f>
        <v>-</v>
      </c>
      <c r="J27" s="91" t="str">
        <f>計算過程!AF10</f>
        <v>-</v>
      </c>
      <c r="K27" s="147"/>
      <c r="L27" s="93" t="str">
        <f>計算過程!AJ10</f>
        <v>-</v>
      </c>
      <c r="M27" s="91" t="str">
        <f>計算過程!AK11</f>
        <v>-</v>
      </c>
      <c r="N27" s="147"/>
      <c r="O27" s="71"/>
      <c r="P27" s="71"/>
    </row>
    <row r="28" spans="1:16" ht="18.95" customHeight="1" x14ac:dyDescent="0.15">
      <c r="A28" s="71"/>
      <c r="B28" s="86" t="s">
        <v>77</v>
      </c>
      <c r="C28" s="94" t="str">
        <f>計算過程!V11</f>
        <v>-</v>
      </c>
      <c r="D28" s="95" t="str">
        <f>計算過程!W11</f>
        <v>-</v>
      </c>
      <c r="E28" s="130"/>
      <c r="F28" s="94" t="str">
        <f>計算過程!Z11</f>
        <v>-</v>
      </c>
      <c r="G28" s="95" t="str">
        <f>計算過程!AA11</f>
        <v>-</v>
      </c>
      <c r="H28" s="130"/>
      <c r="I28" s="94" t="str">
        <f>計算過程!AE11</f>
        <v>-</v>
      </c>
      <c r="J28" s="95" t="str">
        <f>計算過程!AF11</f>
        <v>-</v>
      </c>
      <c r="K28" s="148"/>
      <c r="L28" s="94" t="str">
        <f>計算過程!AJ11</f>
        <v>-</v>
      </c>
      <c r="M28" s="95" t="str">
        <f>計算過程!AK11</f>
        <v>-</v>
      </c>
      <c r="N28" s="148"/>
      <c r="O28" s="71"/>
      <c r="P28" s="71"/>
    </row>
    <row r="29" spans="1:16" ht="18.95" customHeight="1" x14ac:dyDescent="0.15">
      <c r="A29" s="71"/>
      <c r="B29" s="212" t="s">
        <v>72</v>
      </c>
      <c r="C29" s="96">
        <f>SUM(C22:C28)</f>
        <v>0</v>
      </c>
      <c r="D29" s="97">
        <f t="shared" ref="D29:J29" si="0">SUM(D22:D28)</f>
        <v>0</v>
      </c>
      <c r="E29" s="98">
        <f t="shared" si="0"/>
        <v>0</v>
      </c>
      <c r="F29" s="96">
        <f t="shared" si="0"/>
        <v>0</v>
      </c>
      <c r="G29" s="97">
        <f t="shared" si="0"/>
        <v>0</v>
      </c>
      <c r="H29" s="98">
        <f t="shared" si="0"/>
        <v>0</v>
      </c>
      <c r="I29" s="96">
        <f t="shared" si="0"/>
        <v>0</v>
      </c>
      <c r="J29" s="97">
        <f t="shared" si="0"/>
        <v>0</v>
      </c>
      <c r="K29" s="98">
        <f>SUM(K22:K28)</f>
        <v>0</v>
      </c>
      <c r="L29" s="96">
        <f>SUM(L22:L28)</f>
        <v>0</v>
      </c>
      <c r="M29" s="97">
        <f t="shared" ref="M29:N29" si="1">SUM(M22:M28)</f>
        <v>0</v>
      </c>
      <c r="N29" s="98">
        <f t="shared" si="1"/>
        <v>0</v>
      </c>
      <c r="O29" s="71"/>
      <c r="P29" s="71"/>
    </row>
    <row r="30" spans="1:16" ht="18.95" customHeight="1" x14ac:dyDescent="0.15">
      <c r="A30" s="71"/>
      <c r="B30" s="213"/>
      <c r="C30" s="205">
        <f>計算過程!$Y$12</f>
        <v>0</v>
      </c>
      <c r="D30" s="205"/>
      <c r="E30" s="205"/>
      <c r="F30" s="205">
        <f>計算過程!$AC$12</f>
        <v>0</v>
      </c>
      <c r="G30" s="205"/>
      <c r="H30" s="205"/>
      <c r="I30" s="205">
        <f>計算過程!$AH$12</f>
        <v>0</v>
      </c>
      <c r="J30" s="205"/>
      <c r="K30" s="205"/>
      <c r="L30" s="205">
        <f>計算過程!$AM$12</f>
        <v>0</v>
      </c>
      <c r="M30" s="205"/>
      <c r="N30" s="205"/>
      <c r="O30" s="71"/>
      <c r="P30" s="71"/>
    </row>
    <row r="31" spans="1:16" ht="9" customHeight="1" x14ac:dyDescent="0.15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</row>
    <row r="32" spans="1:16" ht="8.25" customHeight="1" x14ac:dyDescent="0.15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</row>
  </sheetData>
  <sheetProtection selectLockedCells="1"/>
  <mergeCells count="12">
    <mergeCell ref="L20:N20"/>
    <mergeCell ref="L30:N30"/>
    <mergeCell ref="B18:C18"/>
    <mergeCell ref="D18:E18"/>
    <mergeCell ref="F18:K18"/>
    <mergeCell ref="C30:E30"/>
    <mergeCell ref="F30:H30"/>
    <mergeCell ref="I30:K30"/>
    <mergeCell ref="B29:B30"/>
    <mergeCell ref="F20:H20"/>
    <mergeCell ref="I20:K20"/>
    <mergeCell ref="C20:E20"/>
  </mergeCells>
  <phoneticPr fontId="5"/>
  <conditionalFormatting sqref="B11:G16">
    <cfRule type="expression" dxfId="3" priority="3">
      <formula>$C11=""</formula>
    </cfRule>
  </conditionalFormatting>
  <conditionalFormatting sqref="B23:K28">
    <cfRule type="expression" dxfId="2" priority="2">
      <formula>$C11=""</formula>
    </cfRule>
  </conditionalFormatting>
  <conditionalFormatting sqref="L23:N28">
    <cfRule type="expression" dxfId="1" priority="1">
      <formula>$C11=""</formula>
    </cfRule>
  </conditionalFormatting>
  <dataValidations count="2">
    <dataValidation type="list" allowBlank="1" showInputMessage="1" showErrorMessage="1" sqref="C10:C16">
      <formula1>"被保険者,その他の健康保険"</formula1>
    </dataValidation>
    <dataValidation type="list" allowBlank="1" showDropDown="1" showInputMessage="1" showErrorMessage="1" sqref="C9">
      <formula1>"被保険者,その他健康保険"</formula1>
    </dataValidation>
  </dataValidations>
  <pageMargins left="0.51181102362204722" right="0.51181102362204722" top="0.39370078740157483" bottom="0.2755905511811023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N29"/>
  <sheetViews>
    <sheetView workbookViewId="0">
      <pane xSplit="12" ySplit="4" topLeftCell="M11" activePane="bottomRight" state="frozen"/>
      <selection activeCell="O17" sqref="O17"/>
      <selection pane="topRight" activeCell="O17" sqref="O17"/>
      <selection pane="bottomLeft" activeCell="O17" sqref="O17"/>
      <selection pane="bottomRight" activeCell="O17" sqref="O17"/>
    </sheetView>
  </sheetViews>
  <sheetFormatPr defaultColWidth="9" defaultRowHeight="20.100000000000001" customHeight="1" x14ac:dyDescent="0.15"/>
  <cols>
    <col min="1" max="1" width="17.5" style="1" bestFit="1" customWidth="1"/>
    <col min="2" max="2" width="8.875" style="1" customWidth="1"/>
    <col min="3" max="3" width="8.875" style="2" customWidth="1"/>
    <col min="4" max="9" width="5.875" style="2" customWidth="1"/>
    <col min="10" max="12" width="16.625" style="2" customWidth="1"/>
    <col min="13" max="13" width="6.875" style="2" customWidth="1"/>
    <col min="14" max="14" width="12.625" style="1" customWidth="1"/>
    <col min="15" max="15" width="12.375" style="1" bestFit="1" customWidth="1"/>
    <col min="16" max="18" width="12.625" style="1" customWidth="1"/>
    <col min="19" max="19" width="15.375" style="1" bestFit="1" customWidth="1"/>
    <col min="20" max="20" width="2.625" style="1" customWidth="1"/>
    <col min="21" max="21" width="17.5" style="1" bestFit="1" customWidth="1"/>
    <col min="22" max="22" width="14.5" style="1" customWidth="1"/>
    <col min="23" max="24" width="10.625" style="1" bestFit="1" customWidth="1"/>
    <col min="25" max="25" width="13.125" style="1" bestFit="1" customWidth="1"/>
    <col min="26" max="26" width="10.625" style="1" bestFit="1" customWidth="1"/>
    <col min="27" max="28" width="9" style="1"/>
    <col min="29" max="29" width="13.125" style="1" bestFit="1" customWidth="1"/>
    <col min="30" max="30" width="9" style="1"/>
    <col min="31" max="31" width="10.625" style="1" bestFit="1" customWidth="1"/>
    <col min="32" max="33" width="9" style="1"/>
    <col min="34" max="34" width="13.125" style="1" bestFit="1" customWidth="1"/>
    <col min="35" max="35" width="9" style="1"/>
    <col min="36" max="36" width="10.625" style="1" bestFit="1" customWidth="1"/>
    <col min="37" max="38" width="9" style="1"/>
    <col min="39" max="39" width="13.125" style="1" bestFit="1" customWidth="1"/>
    <col min="40" max="40" width="18.125" style="1" customWidth="1"/>
    <col min="41" max="16384" width="9" style="1"/>
  </cols>
  <sheetData>
    <row r="1" spans="1:40" ht="20.100000000000001" customHeight="1" thickBot="1" x14ac:dyDescent="0.2">
      <c r="A1" s="1" t="s">
        <v>45</v>
      </c>
    </row>
    <row r="2" spans="1:40" ht="20.100000000000001" customHeight="1" thickBot="1" x14ac:dyDescent="0.2">
      <c r="A2" s="48" t="s">
        <v>48</v>
      </c>
      <c r="D2" s="157"/>
      <c r="E2" s="157"/>
      <c r="F2" s="158" t="s">
        <v>93</v>
      </c>
      <c r="G2" s="157"/>
      <c r="H2" s="157"/>
      <c r="I2" s="157"/>
      <c r="N2" s="48" t="s">
        <v>49</v>
      </c>
      <c r="U2" s="1" t="s">
        <v>50</v>
      </c>
      <c r="V2" s="62" t="str">
        <f>Q22</f>
        <v>７割軽減</v>
      </c>
      <c r="W2" s="61" t="s">
        <v>55</v>
      </c>
      <c r="AE2" s="214" t="s">
        <v>99</v>
      </c>
      <c r="AF2" s="214"/>
      <c r="AG2" s="214"/>
      <c r="AH2" s="214"/>
      <c r="AJ2" s="214" t="s">
        <v>99</v>
      </c>
      <c r="AK2" s="214"/>
      <c r="AL2" s="214"/>
      <c r="AM2" s="214"/>
    </row>
    <row r="3" spans="1:40" s="40" customFormat="1" ht="27" x14ac:dyDescent="0.15">
      <c r="A3" s="217" t="s">
        <v>28</v>
      </c>
      <c r="B3" s="217"/>
      <c r="C3" s="218"/>
      <c r="D3" s="158">
        <v>46023</v>
      </c>
      <c r="E3" s="158">
        <f ca="1">IF(保険料!$J$8="",TODAY(),保険料!$J$8)</f>
        <v>46170</v>
      </c>
      <c r="F3" s="158" t="s">
        <v>94</v>
      </c>
      <c r="G3" s="158">
        <v>46113</v>
      </c>
      <c r="H3" s="179">
        <v>0.5</v>
      </c>
      <c r="I3" s="179">
        <v>0</v>
      </c>
      <c r="J3" s="215" t="s">
        <v>51</v>
      </c>
      <c r="K3" s="216"/>
      <c r="L3" s="216"/>
      <c r="M3" s="193"/>
      <c r="N3" s="43" t="s">
        <v>39</v>
      </c>
      <c r="O3" s="43" t="s">
        <v>25</v>
      </c>
      <c r="P3" s="43" t="s">
        <v>34</v>
      </c>
      <c r="Q3" s="43" t="s">
        <v>33</v>
      </c>
      <c r="R3" s="44" t="s">
        <v>47</v>
      </c>
      <c r="S3" s="43" t="s">
        <v>29</v>
      </c>
      <c r="U3" s="43" t="s">
        <v>52</v>
      </c>
      <c r="V3" s="59" t="s">
        <v>53</v>
      </c>
      <c r="W3" s="51" t="s">
        <v>15</v>
      </c>
      <c r="X3" s="54" t="s">
        <v>16</v>
      </c>
      <c r="Y3" s="55" t="s">
        <v>62</v>
      </c>
      <c r="Z3" s="53" t="s">
        <v>54</v>
      </c>
      <c r="AA3" s="54" t="s">
        <v>15</v>
      </c>
      <c r="AB3" s="54" t="s">
        <v>16</v>
      </c>
      <c r="AC3" s="55" t="s">
        <v>68</v>
      </c>
      <c r="AD3" s="53" t="s">
        <v>97</v>
      </c>
      <c r="AE3" s="177" t="s">
        <v>18</v>
      </c>
      <c r="AF3" s="51" t="s">
        <v>15</v>
      </c>
      <c r="AG3" s="51" t="s">
        <v>16</v>
      </c>
      <c r="AH3" s="178" t="s">
        <v>69</v>
      </c>
      <c r="AI3" s="53" t="s">
        <v>110</v>
      </c>
      <c r="AJ3" s="177" t="s">
        <v>18</v>
      </c>
      <c r="AK3" s="51" t="s">
        <v>15</v>
      </c>
      <c r="AL3" s="51" t="s">
        <v>16</v>
      </c>
      <c r="AM3" s="178" t="s">
        <v>108</v>
      </c>
      <c r="AN3" s="52" t="s">
        <v>19</v>
      </c>
    </row>
    <row r="4" spans="1:40" s="40" customFormat="1" ht="20.100000000000001" customHeight="1" x14ac:dyDescent="0.15">
      <c r="A4" s="41"/>
      <c r="B4" s="41" t="s">
        <v>27</v>
      </c>
      <c r="C4" s="42" t="s">
        <v>88</v>
      </c>
      <c r="D4" s="46" t="s">
        <v>89</v>
      </c>
      <c r="E4" s="46" t="s">
        <v>91</v>
      </c>
      <c r="F4" s="46" t="s">
        <v>92</v>
      </c>
      <c r="G4" s="46"/>
      <c r="H4" s="46" t="s">
        <v>96</v>
      </c>
      <c r="I4" s="46" t="s">
        <v>109</v>
      </c>
      <c r="J4" s="42" t="s">
        <v>20</v>
      </c>
      <c r="K4" s="42" t="s">
        <v>21</v>
      </c>
      <c r="L4" s="42" t="s">
        <v>22</v>
      </c>
      <c r="M4" s="46"/>
      <c r="N4" s="45"/>
      <c r="O4" s="45" t="s">
        <v>35</v>
      </c>
      <c r="P4" s="46" t="s">
        <v>36</v>
      </c>
      <c r="Q4" s="46" t="s">
        <v>37</v>
      </c>
      <c r="R4" s="47">
        <v>150000</v>
      </c>
      <c r="S4" s="45" t="s">
        <v>38</v>
      </c>
      <c r="U4" s="45" t="s">
        <v>87</v>
      </c>
      <c r="V4" s="56">
        <f>W17</f>
        <v>8.5999999999999993E-2</v>
      </c>
      <c r="W4" s="57">
        <f>W18</f>
        <v>32000</v>
      </c>
      <c r="X4" s="57">
        <f>W22</f>
        <v>20100</v>
      </c>
      <c r="Y4" s="58"/>
      <c r="Z4" s="56">
        <f>X17</f>
        <v>2.5899999999999999E-2</v>
      </c>
      <c r="AA4" s="57">
        <f>X18</f>
        <v>10000</v>
      </c>
      <c r="AB4" s="57">
        <f>X22</f>
        <v>6100</v>
      </c>
      <c r="AC4" s="58"/>
      <c r="AD4" s="142"/>
      <c r="AE4" s="68">
        <f>Y17</f>
        <v>2.81E-2</v>
      </c>
      <c r="AF4" s="57">
        <f>Y18</f>
        <v>12000</v>
      </c>
      <c r="AG4" s="145">
        <f>Y22</f>
        <v>5800</v>
      </c>
      <c r="AH4" s="58"/>
      <c r="AI4" s="142"/>
      <c r="AJ4" s="68">
        <f>Z17</f>
        <v>3.5000000000000001E-3</v>
      </c>
      <c r="AK4" s="57">
        <f>Z18</f>
        <v>1300</v>
      </c>
      <c r="AL4" s="145">
        <f>Z22</f>
        <v>800</v>
      </c>
      <c r="AM4" s="58"/>
      <c r="AN4" s="45" t="s">
        <v>70</v>
      </c>
    </row>
    <row r="5" spans="1:40" ht="20.100000000000001" customHeight="1" x14ac:dyDescent="0.15">
      <c r="A5" s="33" t="s">
        <v>1</v>
      </c>
      <c r="B5" s="159">
        <f>保険料!$C10</f>
        <v>0</v>
      </c>
      <c r="C5" s="160" t="str">
        <f>IF(保険料!D10="","",保険料!D10)</f>
        <v/>
      </c>
      <c r="D5" s="161" t="str">
        <f>IFERROR(DATEDIF($C5,$D$3,"Y"),"")</f>
        <v/>
      </c>
      <c r="E5" s="161" t="str">
        <f ca="1">IFERROR(DATEDIF($C5,$E$3,"Y"),"")</f>
        <v/>
      </c>
      <c r="F5" s="161">
        <f>COUNTIFS(B$16:B$27,$F$2,B$16:B$27,$F$3)</f>
        <v>0</v>
      </c>
      <c r="G5" s="161" t="str">
        <f>IFERROR(DATEDIF($C5,$G$3,"Y"),"")</f>
        <v/>
      </c>
      <c r="H5" s="162" t="str">
        <f>IF($G5&lt;6,"○","")</f>
        <v/>
      </c>
      <c r="I5" s="162" t="str">
        <f t="shared" ref="I5:I11" si="0">IF($G5&lt;18,"○","")</f>
        <v/>
      </c>
      <c r="J5" s="34">
        <f>保険料!E10</f>
        <v>0</v>
      </c>
      <c r="K5" s="34">
        <f>保険料!F10</f>
        <v>0</v>
      </c>
      <c r="L5" s="35">
        <f>保険料!G10</f>
        <v>0</v>
      </c>
      <c r="M5" s="194"/>
      <c r="N5" s="36" t="str">
        <f>IF($D5="","",IF($D5&lt;40,"０歳から３９歳",IF($D5&lt;65,"４０歳から６４歳",IF($D5&lt;75,"６５歳から７４歳","７５歳以上"))))</f>
        <v/>
      </c>
      <c r="O5" s="37" t="str">
        <f>IF($B5="被保険者","〇","")</f>
        <v/>
      </c>
      <c r="P5" s="37" t="str">
        <f>IF($O$12&gt;0,"〇","")</f>
        <v/>
      </c>
      <c r="Q5" s="37" t="str">
        <f>IF(OR($J5&gt;0,$K5-$R5&gt;0),"〇","")</f>
        <v/>
      </c>
      <c r="R5" s="38">
        <f t="shared" ref="R5:R11" si="1">IF($N5="６５歳から７４歳",IF($K5-$R$4&gt;0,$R$4,$K5),IF($N5="７５歳以上",IF($K5-$R$4&gt;0,$R$4,$K5),0))</f>
        <v>0</v>
      </c>
      <c r="S5" s="39">
        <f t="shared" ref="S5:S11" si="2">MAX(SUM($J5:$L5)-R5,)</f>
        <v>0</v>
      </c>
      <c r="T5" s="60"/>
      <c r="U5" s="104" t="str">
        <f t="shared" ref="U5:U11" si="3">IF($O5="〇",ROUNDDOWN(MAX(SUM($J5:$L5)-$O$16,),-3),"-")</f>
        <v>-</v>
      </c>
      <c r="V5" s="104" t="str">
        <f t="shared" ref="V5:V11" si="4">IF($O5="〇",ROUNDDOWN(U5*V$4,-1),"-")</f>
        <v>-</v>
      </c>
      <c r="W5" s="104" t="str">
        <f t="shared" ref="W5:W11" si="5">IF($O5="〇",INDEX($V$16:$Z$26,MATCH(W$3&amp;$V$2,$V$16:$V$26,0),MATCH("医療分",$V$16:$Z$16,0))*IF($H5="○",$H$3,1),"-")</f>
        <v>-</v>
      </c>
      <c r="X5" s="104" t="str">
        <f>IF($O$12&gt;0,INDEX($V$16:$Y$26,MATCH(X$3&amp;$V$2,$V$16:$V$26,0),MATCH("医療分",$V$16:$Y$16,0)),"-")</f>
        <v>-</v>
      </c>
      <c r="Y5" s="104" t="str">
        <f t="shared" ref="Y5:Y11" si="6">IF($P5="〇",SUM(V5:X5),"-")</f>
        <v>-</v>
      </c>
      <c r="Z5" s="104" t="str">
        <f t="shared" ref="Z5:Z11" si="7">IF($O5="〇",ROUNDDOWN(U5*Z$4,-1),"-")</f>
        <v>-</v>
      </c>
      <c r="AA5" s="104" t="str">
        <f>IF($O5="〇",INDEX($V$16:$Z$26,MATCH(AA$3&amp;$V$2,$V$16:$V$26,0),MATCH("支援金分",$V$16:$Z$16,0))*IF($H5="○",$H$3,1),"-")</f>
        <v>-</v>
      </c>
      <c r="AB5" s="104" t="str">
        <f>IF($O$12&gt;0,INDEX($V$16:$Y$26,MATCH(AB$3&amp;$V$2,$V$16:$V$26,0),MATCH("支援金分",$V$16:$Y$16,0)),"-")</f>
        <v>-</v>
      </c>
      <c r="AC5" s="140" t="str">
        <f t="shared" ref="AC5:AC11" si="8">IF($P5="〇",SUM(Z5:AB5),"-")</f>
        <v>-</v>
      </c>
      <c r="AD5" s="105" t="str">
        <f t="shared" ref="AD5:AD11" si="9">IF($O5="〇",F5,"-")</f>
        <v>-</v>
      </c>
      <c r="AE5" s="144" t="str">
        <f t="shared" ref="AE5:AE11" si="10">IF(AND($O5="〇",$AD5&gt;0),ROUNDDOWN(U5*AE$4*$AD5/12,-1),"-")</f>
        <v>-</v>
      </c>
      <c r="AF5" s="140" t="str">
        <f>IF(AND($O5="〇",$AD5&gt;0),INDEX($V$16:$Z$26,MATCH(AF$3&amp;$V$2,$V$16:$V$26,0),MATCH("介護分",$V$16:$Z$16,0))*$AD5/12,"-")</f>
        <v>-</v>
      </c>
      <c r="AG5" s="104" t="str">
        <f>IF($AF$12&gt;0,INDEX($V$16:$Y$26,MATCH(AG$3&amp;$V$2,$V$16:$V$26,0),MATCH("介護分",$V$16:$Y$16,0))*$AD$12/12,"-")</f>
        <v>-</v>
      </c>
      <c r="AH5" s="141" t="str">
        <f>IFERROR(IF(AND($P5="〇",$AD5&gt;0),SUM(AE5:AF5),0)+AG5,"-")</f>
        <v>-</v>
      </c>
      <c r="AI5" s="105"/>
      <c r="AJ5" s="144" t="str">
        <f>IF($O5="〇",ROUNDDOWN(U5*AJ$4,-1),"-")</f>
        <v>-</v>
      </c>
      <c r="AK5" s="140" t="str">
        <f>IF($O5="〇",INDEX($V$16:$Z$26,MATCH(AK$3&amp;$V$2,$V$16:$V$26,0),MATCH("子ども分",$V$16:$Z$16,0))*IF($I5="○",$I$3,1),"-")</f>
        <v>-</v>
      </c>
      <c r="AL5" s="104" t="str">
        <f>IF($O$12&gt;0,INDEX($V$16:$Z$26,MATCH(X$3&amp;$V$2,$V$16:$V$26,0),MATCH("子ども分",$V$16:$Z$16,0)),"-")</f>
        <v>-</v>
      </c>
      <c r="AM5" s="141" t="str">
        <f>IF($P5="〇",SUM(AJ5:AL5),"-")</f>
        <v>-</v>
      </c>
      <c r="AN5" s="104"/>
    </row>
    <row r="6" spans="1:40" ht="20.100000000000001" customHeight="1" x14ac:dyDescent="0.15">
      <c r="A6" s="4" t="s">
        <v>2</v>
      </c>
      <c r="B6" s="163">
        <f>保険料!$C11</f>
        <v>0</v>
      </c>
      <c r="C6" s="164" t="str">
        <f>IF(保険料!D11="","",保険料!D11)</f>
        <v/>
      </c>
      <c r="D6" s="165" t="str">
        <f>IFERROR(DATEDIF($C6,$D$3,"Y"),"")</f>
        <v/>
      </c>
      <c r="E6" s="165" t="str">
        <f t="shared" ref="E6" ca="1" si="11">IFERROR(DATEDIF($C6,$E$3,"Y"),"")</f>
        <v/>
      </c>
      <c r="F6" s="165">
        <f>COUNTIFS(C$16:C$27,$F$2,C$16:C$27,$F$3)</f>
        <v>0</v>
      </c>
      <c r="G6" s="165" t="str">
        <f>IFERROR(DATEDIF($C6,$G$3,"Y"),"")</f>
        <v/>
      </c>
      <c r="H6" s="166" t="str">
        <f>IF($G6&lt;6,"○","")</f>
        <v/>
      </c>
      <c r="I6" s="166" t="str">
        <f t="shared" si="0"/>
        <v/>
      </c>
      <c r="J6" s="5">
        <f>保険料!E11</f>
        <v>0</v>
      </c>
      <c r="K6" s="5">
        <f>保険料!F11</f>
        <v>0</v>
      </c>
      <c r="L6" s="6">
        <f>保険料!G11</f>
        <v>0</v>
      </c>
      <c r="M6" s="195"/>
      <c r="N6" s="25" t="str">
        <f t="shared" ref="N6:N11" si="12">IF($D6="","",IF($D6&lt;40,"０歳から３９歳",IF($D6&lt;65,"４０歳から６４歳",IF($D6&lt;75,"６５歳から７４歳","７５歳以上"))))</f>
        <v/>
      </c>
      <c r="O6" s="3" t="str">
        <f>IF($B6="被保険者","〇","")</f>
        <v/>
      </c>
      <c r="P6" s="3" t="str">
        <f>IF($B6="被保険者","〇","")</f>
        <v/>
      </c>
      <c r="Q6" s="3" t="str">
        <f t="shared" ref="Q6:Q11" si="13">IF($B6="被保険者",IF(OR($J6&gt;0,$K6-$R6&gt;0),"〇",""),"")</f>
        <v/>
      </c>
      <c r="R6" s="28">
        <f t="shared" si="1"/>
        <v>0</v>
      </c>
      <c r="S6" s="17">
        <f t="shared" si="2"/>
        <v>0</v>
      </c>
      <c r="U6" s="107" t="str">
        <f t="shared" si="3"/>
        <v>-</v>
      </c>
      <c r="V6" s="106" t="str">
        <f t="shared" si="4"/>
        <v>-</v>
      </c>
      <c r="W6" s="107" t="str">
        <f t="shared" si="5"/>
        <v>-</v>
      </c>
      <c r="X6" s="108"/>
      <c r="Y6" s="106" t="str">
        <f t="shared" si="6"/>
        <v>-</v>
      </c>
      <c r="Z6" s="106" t="str">
        <f t="shared" si="7"/>
        <v>-</v>
      </c>
      <c r="AA6" s="107" t="str">
        <f>IF($O6="〇",INDEX($V$16:$Z$26,MATCH(AA$3&amp;$V$2,$V$16:$V$26,0),MATCH("支援金分",$V$16:$Z$16,0))*IF($H6="○",$H$3,1),"-")</f>
        <v>-</v>
      </c>
      <c r="AB6" s="108"/>
      <c r="AC6" s="106" t="str">
        <f t="shared" si="8"/>
        <v>-</v>
      </c>
      <c r="AD6" s="143" t="str">
        <f t="shared" si="9"/>
        <v>-</v>
      </c>
      <c r="AE6" s="106" t="str">
        <f t="shared" si="10"/>
        <v>-</v>
      </c>
      <c r="AF6" s="107" t="str">
        <f>IF(AND($O6="〇",$AD6&gt;0),INDEX($V$16:$Z$26,MATCH(AF$3&amp;$V$2,$V$16:$V$26,0),MATCH("介護分",$V$16:$Z$16,0))*$AD6/12,"-")</f>
        <v>-</v>
      </c>
      <c r="AG6" s="146"/>
      <c r="AH6" s="106" t="str">
        <f t="shared" ref="AH6:AH11" si="14">IF(AND($P6="〇",$AD6&gt;0),SUM(AE6:AG6),"-")</f>
        <v>-</v>
      </c>
      <c r="AI6" s="143"/>
      <c r="AJ6" s="106" t="str">
        <f>IF($O6="〇",ROUNDDOWN(U6*AJ$4,-1),"-")</f>
        <v>-</v>
      </c>
      <c r="AK6" s="200" t="str">
        <f t="shared" ref="AK6:AK11" si="15">IF($O6="〇",INDEX($V$16:$Z$26,MATCH(AK$3&amp;$V$2,$V$16:$V$26,0),MATCH("子ども分",$V$16:$Z$16,0))*IF($I6="○",$I$3,1),"-")</f>
        <v>-</v>
      </c>
      <c r="AL6" s="146"/>
      <c r="AM6" s="201" t="str">
        <f t="shared" ref="AM6:AM11" si="16">IF($P6="〇",SUM(AJ6:AL6),"-")</f>
        <v>-</v>
      </c>
      <c r="AN6" s="106"/>
    </row>
    <row r="7" spans="1:40" ht="20.100000000000001" customHeight="1" x14ac:dyDescent="0.15">
      <c r="A7" s="4" t="s">
        <v>3</v>
      </c>
      <c r="B7" s="163">
        <f>保険料!$C12</f>
        <v>0</v>
      </c>
      <c r="C7" s="164" t="str">
        <f>IF(保険料!D12="","",保険料!D12)</f>
        <v/>
      </c>
      <c r="D7" s="165" t="str">
        <f t="shared" ref="D7:D11" si="17">IFERROR(DATEDIF($C7,$D$3,"Y"),"")</f>
        <v/>
      </c>
      <c r="E7" s="165" t="str">
        <f ca="1">IFERROR(DATEDIF($C7,$E$3,"Y"),"")</f>
        <v/>
      </c>
      <c r="F7" s="165">
        <f>COUNTIFS(D$16:D$27,$F$2,D$16:D$27,$F$3)</f>
        <v>0</v>
      </c>
      <c r="G7" s="165" t="str">
        <f t="shared" ref="G7:G10" si="18">IFERROR(DATEDIF($C7,$G$3,"Y"),"")</f>
        <v/>
      </c>
      <c r="H7" s="166" t="str">
        <f t="shared" ref="H7:H11" si="19">IF($G7&lt;6,"○","")</f>
        <v/>
      </c>
      <c r="I7" s="166" t="str">
        <f t="shared" si="0"/>
        <v/>
      </c>
      <c r="J7" s="5">
        <f>保険料!E12</f>
        <v>0</v>
      </c>
      <c r="K7" s="5">
        <f>保険料!F12</f>
        <v>0</v>
      </c>
      <c r="L7" s="6">
        <f>保険料!G12</f>
        <v>0</v>
      </c>
      <c r="M7" s="195"/>
      <c r="N7" s="25" t="str">
        <f t="shared" si="12"/>
        <v/>
      </c>
      <c r="O7" s="3" t="str">
        <f t="shared" ref="O7:O11" si="20">IF($B7="被保険者","〇","")</f>
        <v/>
      </c>
      <c r="P7" s="3" t="str">
        <f t="shared" ref="P7:P11" si="21">IF($B7="被保険者","〇","")</f>
        <v/>
      </c>
      <c r="Q7" s="3" t="str">
        <f t="shared" si="13"/>
        <v/>
      </c>
      <c r="R7" s="28">
        <f t="shared" si="1"/>
        <v>0</v>
      </c>
      <c r="S7" s="17">
        <f t="shared" si="2"/>
        <v>0</v>
      </c>
      <c r="U7" s="107" t="str">
        <f t="shared" si="3"/>
        <v>-</v>
      </c>
      <c r="V7" s="106" t="str">
        <f t="shared" si="4"/>
        <v>-</v>
      </c>
      <c r="W7" s="107" t="str">
        <f t="shared" si="5"/>
        <v>-</v>
      </c>
      <c r="X7" s="108"/>
      <c r="Y7" s="106" t="str">
        <f t="shared" si="6"/>
        <v>-</v>
      </c>
      <c r="Z7" s="106" t="str">
        <f t="shared" si="7"/>
        <v>-</v>
      </c>
      <c r="AA7" s="107" t="str">
        <f t="shared" ref="AA7:AA10" si="22">IF($O7="〇",INDEX($V$16:$Z$26,MATCH(AA$3&amp;$V$2,$V$16:$V$26,0),MATCH("支援金分",$V$16:$Z$16,0))*IF($H7="○",$H$3,1),"-")</f>
        <v>-</v>
      </c>
      <c r="AB7" s="108"/>
      <c r="AC7" s="106" t="str">
        <f t="shared" si="8"/>
        <v>-</v>
      </c>
      <c r="AD7" s="109" t="str">
        <f t="shared" si="9"/>
        <v>-</v>
      </c>
      <c r="AE7" s="106" t="str">
        <f t="shared" si="10"/>
        <v>-</v>
      </c>
      <c r="AF7" s="107" t="str">
        <f t="shared" ref="AF7:AF11" si="23">IF(AND($O7="〇",$AD7&gt;0),INDEX($V$16:$Z$26,MATCH(AF$3&amp;$V$2,$V$16:$V$26,0),MATCH("介護分",$V$16:$Z$16,0))*$AD7/12,"-")</f>
        <v>-</v>
      </c>
      <c r="AG7" s="108"/>
      <c r="AH7" s="106" t="str">
        <f t="shared" si="14"/>
        <v>-</v>
      </c>
      <c r="AI7" s="109"/>
      <c r="AJ7" s="106" t="str">
        <f t="shared" ref="AJ7:AJ11" si="24">IF($O7="〇",ROUNDDOWN(U7*AJ$4,-1),"-")</f>
        <v>-</v>
      </c>
      <c r="AK7" s="200" t="str">
        <f t="shared" si="15"/>
        <v>-</v>
      </c>
      <c r="AL7" s="108"/>
      <c r="AM7" s="201" t="str">
        <f t="shared" si="16"/>
        <v>-</v>
      </c>
      <c r="AN7" s="106"/>
    </row>
    <row r="8" spans="1:40" ht="20.100000000000001" customHeight="1" x14ac:dyDescent="0.15">
      <c r="A8" s="4" t="s">
        <v>4</v>
      </c>
      <c r="B8" s="163">
        <f>保険料!$C13</f>
        <v>0</v>
      </c>
      <c r="C8" s="164" t="str">
        <f>IF(保険料!D13="","",保険料!D13)</f>
        <v/>
      </c>
      <c r="D8" s="165" t="str">
        <f t="shared" si="17"/>
        <v/>
      </c>
      <c r="E8" s="165" t="str">
        <f ca="1">IFERROR(DATEDIF($C8,$E$3,"Y"),"")</f>
        <v/>
      </c>
      <c r="F8" s="165">
        <f>COUNTIFS(E$16:E$27,$F$2,E$16:E$27,$F$3)</f>
        <v>0</v>
      </c>
      <c r="G8" s="165" t="str">
        <f t="shared" si="18"/>
        <v/>
      </c>
      <c r="H8" s="166" t="str">
        <f t="shared" si="19"/>
        <v/>
      </c>
      <c r="I8" s="166" t="str">
        <f t="shared" si="0"/>
        <v/>
      </c>
      <c r="J8" s="5">
        <f>保険料!E13</f>
        <v>0</v>
      </c>
      <c r="K8" s="5">
        <f>保険料!F13</f>
        <v>0</v>
      </c>
      <c r="L8" s="6">
        <f>保険料!G13</f>
        <v>0</v>
      </c>
      <c r="M8" s="195"/>
      <c r="N8" s="25" t="str">
        <f t="shared" si="12"/>
        <v/>
      </c>
      <c r="O8" s="3" t="str">
        <f t="shared" si="20"/>
        <v/>
      </c>
      <c r="P8" s="3" t="str">
        <f t="shared" si="21"/>
        <v/>
      </c>
      <c r="Q8" s="3" t="str">
        <f t="shared" si="13"/>
        <v/>
      </c>
      <c r="R8" s="28">
        <f t="shared" si="1"/>
        <v>0</v>
      </c>
      <c r="S8" s="17">
        <f t="shared" si="2"/>
        <v>0</v>
      </c>
      <c r="U8" s="107" t="str">
        <f t="shared" si="3"/>
        <v>-</v>
      </c>
      <c r="V8" s="106" t="str">
        <f t="shared" si="4"/>
        <v>-</v>
      </c>
      <c r="W8" s="107" t="str">
        <f t="shared" si="5"/>
        <v>-</v>
      </c>
      <c r="X8" s="108"/>
      <c r="Y8" s="106" t="str">
        <f t="shared" si="6"/>
        <v>-</v>
      </c>
      <c r="Z8" s="106" t="str">
        <f t="shared" si="7"/>
        <v>-</v>
      </c>
      <c r="AA8" s="107" t="str">
        <f t="shared" si="22"/>
        <v>-</v>
      </c>
      <c r="AB8" s="108"/>
      <c r="AC8" s="106" t="str">
        <f t="shared" si="8"/>
        <v>-</v>
      </c>
      <c r="AD8" s="109" t="str">
        <f t="shared" si="9"/>
        <v>-</v>
      </c>
      <c r="AE8" s="106" t="str">
        <f t="shared" si="10"/>
        <v>-</v>
      </c>
      <c r="AF8" s="107" t="str">
        <f t="shared" si="23"/>
        <v>-</v>
      </c>
      <c r="AG8" s="108"/>
      <c r="AH8" s="106" t="str">
        <f t="shared" si="14"/>
        <v>-</v>
      </c>
      <c r="AI8" s="109"/>
      <c r="AJ8" s="106" t="str">
        <f>IF($O8="〇",ROUNDDOWN(U8*AJ$4,-1),"-")</f>
        <v>-</v>
      </c>
      <c r="AK8" s="200" t="str">
        <f t="shared" si="15"/>
        <v>-</v>
      </c>
      <c r="AL8" s="108"/>
      <c r="AM8" s="201" t="str">
        <f t="shared" si="16"/>
        <v>-</v>
      </c>
    </row>
    <row r="9" spans="1:40" ht="20.100000000000001" customHeight="1" x14ac:dyDescent="0.15">
      <c r="A9" s="4" t="s">
        <v>5</v>
      </c>
      <c r="B9" s="163">
        <f>保険料!$C14</f>
        <v>0</v>
      </c>
      <c r="C9" s="164" t="str">
        <f>IF(保険料!D14="","",保険料!D14)</f>
        <v/>
      </c>
      <c r="D9" s="165" t="str">
        <f t="shared" si="17"/>
        <v/>
      </c>
      <c r="E9" s="165" t="str">
        <f ca="1">IFERROR(DATEDIF($C9,$E$3,"Y"),"")</f>
        <v/>
      </c>
      <c r="F9" s="165">
        <f>COUNTIFS(F$16:F$27,$F$2,F$16:F$27,$F$3)</f>
        <v>0</v>
      </c>
      <c r="G9" s="165" t="str">
        <f t="shared" si="18"/>
        <v/>
      </c>
      <c r="H9" s="166" t="str">
        <f>IF($G9&lt;6,"○","")</f>
        <v/>
      </c>
      <c r="I9" s="166" t="str">
        <f t="shared" si="0"/>
        <v/>
      </c>
      <c r="J9" s="5">
        <f>保険料!E14</f>
        <v>0</v>
      </c>
      <c r="K9" s="5">
        <f>保険料!F14</f>
        <v>0</v>
      </c>
      <c r="L9" s="6">
        <f>保険料!G14</f>
        <v>0</v>
      </c>
      <c r="M9" s="195"/>
      <c r="N9" s="25" t="str">
        <f t="shared" si="12"/>
        <v/>
      </c>
      <c r="O9" s="3" t="str">
        <f t="shared" si="20"/>
        <v/>
      </c>
      <c r="P9" s="3" t="str">
        <f t="shared" si="21"/>
        <v/>
      </c>
      <c r="Q9" s="3" t="str">
        <f t="shared" si="13"/>
        <v/>
      </c>
      <c r="R9" s="28">
        <f t="shared" si="1"/>
        <v>0</v>
      </c>
      <c r="S9" s="17">
        <f t="shared" si="2"/>
        <v>0</v>
      </c>
      <c r="U9" s="107" t="str">
        <f t="shared" si="3"/>
        <v>-</v>
      </c>
      <c r="V9" s="106" t="str">
        <f t="shared" si="4"/>
        <v>-</v>
      </c>
      <c r="W9" s="107" t="str">
        <f t="shared" si="5"/>
        <v>-</v>
      </c>
      <c r="X9" s="108"/>
      <c r="Y9" s="106" t="str">
        <f t="shared" si="6"/>
        <v>-</v>
      </c>
      <c r="Z9" s="106" t="str">
        <f t="shared" si="7"/>
        <v>-</v>
      </c>
      <c r="AA9" s="107" t="str">
        <f t="shared" si="22"/>
        <v>-</v>
      </c>
      <c r="AB9" s="108"/>
      <c r="AC9" s="106" t="str">
        <f t="shared" si="8"/>
        <v>-</v>
      </c>
      <c r="AD9" s="109" t="str">
        <f t="shared" si="9"/>
        <v>-</v>
      </c>
      <c r="AE9" s="106" t="str">
        <f t="shared" si="10"/>
        <v>-</v>
      </c>
      <c r="AF9" s="107" t="str">
        <f t="shared" si="23"/>
        <v>-</v>
      </c>
      <c r="AG9" s="108"/>
      <c r="AH9" s="106" t="str">
        <f t="shared" si="14"/>
        <v>-</v>
      </c>
      <c r="AI9" s="109"/>
      <c r="AJ9" s="106" t="str">
        <f>IF($O9="〇",ROUNDDOWN(U9*AJ$4,-1),"-")</f>
        <v>-</v>
      </c>
      <c r="AK9" s="200" t="str">
        <f t="shared" si="15"/>
        <v>-</v>
      </c>
      <c r="AL9" s="108"/>
      <c r="AM9" s="201" t="str">
        <f t="shared" si="16"/>
        <v>-</v>
      </c>
      <c r="AN9" s="106"/>
    </row>
    <row r="10" spans="1:40" ht="20.100000000000001" customHeight="1" x14ac:dyDescent="0.15">
      <c r="A10" s="4" t="s">
        <v>6</v>
      </c>
      <c r="B10" s="163">
        <f>保険料!$C15</f>
        <v>0</v>
      </c>
      <c r="C10" s="164" t="str">
        <f>IF(保険料!D15="","",保険料!D15)</f>
        <v/>
      </c>
      <c r="D10" s="165" t="str">
        <f t="shared" si="17"/>
        <v/>
      </c>
      <c r="E10" s="165" t="str">
        <f ca="1">IFERROR(DATEDIF($C10,$E$3,"Y"),"")</f>
        <v/>
      </c>
      <c r="F10" s="165">
        <f>COUNTIFS(G$16:G$27,$F$2,G$16:G$27,$F$3)</f>
        <v>0</v>
      </c>
      <c r="G10" s="165" t="str">
        <f t="shared" si="18"/>
        <v/>
      </c>
      <c r="H10" s="166" t="str">
        <f t="shared" si="19"/>
        <v/>
      </c>
      <c r="I10" s="166" t="str">
        <f t="shared" si="0"/>
        <v/>
      </c>
      <c r="J10" s="5">
        <f>保険料!E15</f>
        <v>0</v>
      </c>
      <c r="K10" s="5">
        <f>保険料!F15</f>
        <v>0</v>
      </c>
      <c r="L10" s="6">
        <f>保険料!G15</f>
        <v>0</v>
      </c>
      <c r="M10" s="195"/>
      <c r="N10" s="25" t="str">
        <f t="shared" si="12"/>
        <v/>
      </c>
      <c r="O10" s="3" t="str">
        <f t="shared" si="20"/>
        <v/>
      </c>
      <c r="P10" s="3" t="str">
        <f t="shared" si="21"/>
        <v/>
      </c>
      <c r="Q10" s="3" t="str">
        <f t="shared" si="13"/>
        <v/>
      </c>
      <c r="R10" s="28">
        <f t="shared" si="1"/>
        <v>0</v>
      </c>
      <c r="S10" s="17">
        <f t="shared" si="2"/>
        <v>0</v>
      </c>
      <c r="U10" s="107" t="str">
        <f t="shared" si="3"/>
        <v>-</v>
      </c>
      <c r="V10" s="106" t="str">
        <f t="shared" si="4"/>
        <v>-</v>
      </c>
      <c r="W10" s="107" t="str">
        <f t="shared" si="5"/>
        <v>-</v>
      </c>
      <c r="X10" s="108"/>
      <c r="Y10" s="106" t="str">
        <f t="shared" si="6"/>
        <v>-</v>
      </c>
      <c r="Z10" s="106" t="str">
        <f t="shared" si="7"/>
        <v>-</v>
      </c>
      <c r="AA10" s="107" t="str">
        <f t="shared" si="22"/>
        <v>-</v>
      </c>
      <c r="AB10" s="108"/>
      <c r="AC10" s="106" t="str">
        <f t="shared" si="8"/>
        <v>-</v>
      </c>
      <c r="AD10" s="109" t="str">
        <f t="shared" si="9"/>
        <v>-</v>
      </c>
      <c r="AE10" s="106" t="str">
        <f t="shared" si="10"/>
        <v>-</v>
      </c>
      <c r="AF10" s="107" t="str">
        <f t="shared" si="23"/>
        <v>-</v>
      </c>
      <c r="AG10" s="108"/>
      <c r="AH10" s="106" t="str">
        <f t="shared" si="14"/>
        <v>-</v>
      </c>
      <c r="AI10" s="109"/>
      <c r="AJ10" s="106" t="str">
        <f t="shared" si="24"/>
        <v>-</v>
      </c>
      <c r="AK10" s="200" t="str">
        <f t="shared" si="15"/>
        <v>-</v>
      </c>
      <c r="AL10" s="108"/>
      <c r="AM10" s="201" t="str">
        <f t="shared" si="16"/>
        <v>-</v>
      </c>
      <c r="AN10" s="106"/>
    </row>
    <row r="11" spans="1:40" ht="20.100000000000001" customHeight="1" thickBot="1" x14ac:dyDescent="0.2">
      <c r="A11" s="7" t="s">
        <v>77</v>
      </c>
      <c r="B11" s="167">
        <f>保険料!$C16</f>
        <v>0</v>
      </c>
      <c r="C11" s="168" t="str">
        <f>IF(保険料!D16="","",保険料!D16)</f>
        <v/>
      </c>
      <c r="D11" s="169" t="str">
        <f t="shared" si="17"/>
        <v/>
      </c>
      <c r="E11" s="169" t="str">
        <f ca="1">IFERROR(DATEDIF($C11,$E$3,"Y"),"")</f>
        <v/>
      </c>
      <c r="F11" s="169">
        <f>COUNTIFS(H$16:H$27,$F$2,H$16:H$27,$F$3)</f>
        <v>0</v>
      </c>
      <c r="G11" s="169" t="str">
        <f>IFERROR(DATEDIF($C11,$G$3,"Y"),"")</f>
        <v/>
      </c>
      <c r="H11" s="170" t="str">
        <f t="shared" si="19"/>
        <v/>
      </c>
      <c r="I11" s="170" t="str">
        <f t="shared" si="0"/>
        <v/>
      </c>
      <c r="J11" s="8">
        <f>保険料!E16</f>
        <v>0</v>
      </c>
      <c r="K11" s="8">
        <f>保険料!F16</f>
        <v>0</v>
      </c>
      <c r="L11" s="9">
        <f>保険料!G16</f>
        <v>0</v>
      </c>
      <c r="M11" s="196"/>
      <c r="N11" s="26" t="str">
        <f t="shared" si="12"/>
        <v/>
      </c>
      <c r="O11" s="13" t="str">
        <f t="shared" si="20"/>
        <v/>
      </c>
      <c r="P11" s="13" t="str">
        <f t="shared" si="21"/>
        <v/>
      </c>
      <c r="Q11" s="13" t="str">
        <f t="shared" si="13"/>
        <v/>
      </c>
      <c r="R11" s="29">
        <f t="shared" si="1"/>
        <v>0</v>
      </c>
      <c r="S11" s="19">
        <f t="shared" si="2"/>
        <v>0</v>
      </c>
      <c r="U11" s="107" t="str">
        <f t="shared" si="3"/>
        <v>-</v>
      </c>
      <c r="V11" s="110" t="str">
        <f t="shared" si="4"/>
        <v>-</v>
      </c>
      <c r="W11" s="107" t="str">
        <f t="shared" si="5"/>
        <v>-</v>
      </c>
      <c r="X11" s="111"/>
      <c r="Y11" s="110" t="str">
        <f t="shared" si="6"/>
        <v>-</v>
      </c>
      <c r="Z11" s="110" t="str">
        <f t="shared" si="7"/>
        <v>-</v>
      </c>
      <c r="AA11" s="107" t="str">
        <f>IF($O11="〇",INDEX($V$16:$Z$26,MATCH(AA$3&amp;$V$2,$V$16:$V$26,0),MATCH("支援金分",$V$16:$Z$16,0))*IF($H11="○",$H$3,1),"-")</f>
        <v>-</v>
      </c>
      <c r="AB11" s="111"/>
      <c r="AC11" s="110" t="str">
        <f t="shared" si="8"/>
        <v>-</v>
      </c>
      <c r="AD11" s="112" t="str">
        <f t="shared" si="9"/>
        <v>-</v>
      </c>
      <c r="AE11" s="110" t="str">
        <f t="shared" si="10"/>
        <v>-</v>
      </c>
      <c r="AF11" s="107" t="str">
        <f t="shared" si="23"/>
        <v>-</v>
      </c>
      <c r="AG11" s="111"/>
      <c r="AH11" s="110" t="str">
        <f t="shared" si="14"/>
        <v>-</v>
      </c>
      <c r="AI11" s="112"/>
      <c r="AJ11" s="106" t="str">
        <f t="shared" si="24"/>
        <v>-</v>
      </c>
      <c r="AK11" s="200" t="str">
        <f t="shared" si="15"/>
        <v>-</v>
      </c>
      <c r="AL11" s="111"/>
      <c r="AM11" s="201" t="str">
        <f t="shared" si="16"/>
        <v>-</v>
      </c>
      <c r="AN11" s="110"/>
    </row>
    <row r="12" spans="1:40" ht="20.100000000000001" customHeight="1" thickBot="1" x14ac:dyDescent="0.2">
      <c r="A12" s="10" t="s">
        <v>26</v>
      </c>
      <c r="B12" s="171"/>
      <c r="C12" s="172"/>
      <c r="D12" s="173"/>
      <c r="E12" s="173"/>
      <c r="F12" s="173"/>
      <c r="G12" s="173"/>
      <c r="H12" s="174"/>
      <c r="I12" s="174"/>
      <c r="J12" s="11">
        <f>SUM(J5:J11)</f>
        <v>0</v>
      </c>
      <c r="K12" s="11">
        <f>SUM(K5:K11)</f>
        <v>0</v>
      </c>
      <c r="L12" s="12">
        <f>SUM(L5:L11)</f>
        <v>0</v>
      </c>
      <c r="M12" s="197"/>
      <c r="N12" s="24"/>
      <c r="O12" s="14">
        <f>COUNTIF(O$5:O$11,"〇")</f>
        <v>0</v>
      </c>
      <c r="P12" s="15">
        <f>COUNTIF(P$5:P$11,"〇")</f>
        <v>0</v>
      </c>
      <c r="Q12" s="15">
        <f>COUNTIF(Q$5:Q$11,"〇")</f>
        <v>0</v>
      </c>
      <c r="R12" s="30"/>
      <c r="S12" s="31">
        <f>SUMIF($P$5:$P$11,"〇",$S$5:$S$11)</f>
        <v>0</v>
      </c>
      <c r="U12" s="113">
        <f>SUM(U5:U11)</f>
        <v>0</v>
      </c>
      <c r="V12" s="114">
        <f t="shared" ref="V12:X12" si="25">SUM(V5:V11)</f>
        <v>0</v>
      </c>
      <c r="W12" s="114">
        <f t="shared" si="25"/>
        <v>0</v>
      </c>
      <c r="X12" s="114">
        <f t="shared" si="25"/>
        <v>0</v>
      </c>
      <c r="Y12" s="128">
        <f>MIN(SUM(Y5:Y11),$W$26)</f>
        <v>0</v>
      </c>
      <c r="Z12" s="114">
        <f t="shared" ref="Z12:AG12" si="26">SUM(Z5:Z11)</f>
        <v>0</v>
      </c>
      <c r="AA12" s="114">
        <f t="shared" si="26"/>
        <v>0</v>
      </c>
      <c r="AB12" s="114">
        <f t="shared" si="26"/>
        <v>0</v>
      </c>
      <c r="AC12" s="128">
        <f>MIN(SUM(AC5:AC11),$X$26)</f>
        <v>0</v>
      </c>
      <c r="AD12" s="176">
        <f>MAX(AD5:AD11)</f>
        <v>0</v>
      </c>
      <c r="AE12" s="114">
        <f t="shared" si="26"/>
        <v>0</v>
      </c>
      <c r="AF12" s="114">
        <f t="shared" si="26"/>
        <v>0</v>
      </c>
      <c r="AG12" s="114">
        <f t="shared" si="26"/>
        <v>0</v>
      </c>
      <c r="AH12" s="128">
        <f>MIN(SUM(AH5:AH11),$Y$26)</f>
        <v>0</v>
      </c>
      <c r="AI12" s="176"/>
      <c r="AJ12" s="114">
        <f t="shared" ref="AJ12:AL12" si="27">SUM(AJ5:AJ11)</f>
        <v>0</v>
      </c>
      <c r="AK12" s="114">
        <f t="shared" si="27"/>
        <v>0</v>
      </c>
      <c r="AL12" s="114">
        <f t="shared" si="27"/>
        <v>0</v>
      </c>
      <c r="AM12" s="128">
        <f>MIN(SUM(AM5:AM11),$Z$26)</f>
        <v>0</v>
      </c>
      <c r="AN12" s="115">
        <f>$Y$12+$AC$12+$AH$12+$AM$12</f>
        <v>0</v>
      </c>
    </row>
    <row r="13" spans="1:40" s="100" customFormat="1" ht="31.5" x14ac:dyDescent="0.15"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Q13" s="102" t="s">
        <v>83</v>
      </c>
      <c r="S13" s="103" t="s">
        <v>82</v>
      </c>
      <c r="U13" s="100" t="s">
        <v>63</v>
      </c>
      <c r="V13" s="100" t="s">
        <v>63</v>
      </c>
      <c r="W13" s="100" t="s">
        <v>63</v>
      </c>
      <c r="X13" s="100" t="s">
        <v>64</v>
      </c>
      <c r="Y13" s="116">
        <f>$W$26</f>
        <v>670000</v>
      </c>
      <c r="Z13" s="100" t="s">
        <v>63</v>
      </c>
      <c r="AA13" s="100" t="s">
        <v>63</v>
      </c>
      <c r="AB13" s="100" t="s">
        <v>64</v>
      </c>
      <c r="AC13" s="116">
        <f>$X$26</f>
        <v>260000</v>
      </c>
      <c r="AD13" s="175" t="s">
        <v>98</v>
      </c>
      <c r="AE13" s="100" t="s">
        <v>63</v>
      </c>
      <c r="AF13" s="100" t="s">
        <v>63</v>
      </c>
      <c r="AG13" s="100" t="s">
        <v>64</v>
      </c>
      <c r="AH13" s="116">
        <f>$Y$26</f>
        <v>170000</v>
      </c>
      <c r="AI13" s="175" t="s">
        <v>98</v>
      </c>
      <c r="AJ13" s="100" t="s">
        <v>63</v>
      </c>
      <c r="AK13" s="100" t="s">
        <v>63</v>
      </c>
      <c r="AL13" s="100" t="s">
        <v>64</v>
      </c>
      <c r="AM13" s="116">
        <f>$Y$26</f>
        <v>170000</v>
      </c>
    </row>
    <row r="14" spans="1:40" ht="20.100000000000001" customHeight="1" thickBot="1" x14ac:dyDescent="0.2">
      <c r="A14" s="1" t="s">
        <v>95</v>
      </c>
    </row>
    <row r="15" spans="1:40" ht="20.100000000000001" customHeight="1" x14ac:dyDescent="0.15">
      <c r="A15" s="155"/>
      <c r="B15" s="3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77</v>
      </c>
      <c r="I15" s="198"/>
      <c r="K15" s="1"/>
      <c r="L15" s="1"/>
      <c r="M15" s="1"/>
      <c r="N15" s="67" t="s">
        <v>66</v>
      </c>
      <c r="P15" s="2"/>
      <c r="Q15" s="3" t="s">
        <v>30</v>
      </c>
      <c r="R15" s="3" t="s">
        <v>31</v>
      </c>
      <c r="S15" s="3" t="s">
        <v>32</v>
      </c>
      <c r="V15" s="117" t="s">
        <v>107</v>
      </c>
      <c r="W15" s="118"/>
      <c r="X15" s="118"/>
      <c r="Y15" s="118"/>
      <c r="Z15" s="118"/>
      <c r="AA15" s="119"/>
      <c r="AB15" s="1" t="s">
        <v>85</v>
      </c>
    </row>
    <row r="16" spans="1:40" ht="20.100000000000001" customHeight="1" x14ac:dyDescent="0.15">
      <c r="A16" s="153">
        <f>EOMONTH($D$3,3)</f>
        <v>46142</v>
      </c>
      <c r="B16" s="156" t="str">
        <f>IFERROR(DATEDIF(C$5,$A16,"Y"),"")</f>
        <v/>
      </c>
      <c r="C16" s="156" t="str">
        <f>IFERROR(DATEDIF(C$6,$A16,"Y"),"")</f>
        <v/>
      </c>
      <c r="D16" s="156" t="str">
        <f>IFERROR(DATEDIF(C$7,$A16,"Y"),"")</f>
        <v/>
      </c>
      <c r="E16" s="156" t="str">
        <f>IFERROR(DATEDIF(C$8,$A16,"Y"),"")</f>
        <v/>
      </c>
      <c r="F16" s="156" t="str">
        <f>IFERROR(DATEDIF(C$9,$A16,"Y"),"")</f>
        <v/>
      </c>
      <c r="G16" s="156" t="str">
        <f>IFERROR(DATEDIF(C$10,$A16,"Y"),"")</f>
        <v/>
      </c>
      <c r="H16" s="156" t="str">
        <f t="shared" ref="H16:H27" si="28">IFERROR(DATEDIF(C$11,$A16,"Y"),"")</f>
        <v/>
      </c>
      <c r="I16" s="199"/>
      <c r="K16" s="1"/>
      <c r="L16" s="1"/>
      <c r="M16" s="1"/>
      <c r="N16" s="16" t="s">
        <v>23</v>
      </c>
      <c r="O16" s="23">
        <v>430000</v>
      </c>
      <c r="P16" s="27" t="s">
        <v>43</v>
      </c>
      <c r="Q16" s="17">
        <v>430000</v>
      </c>
      <c r="R16" s="17">
        <v>430000</v>
      </c>
      <c r="S16" s="17">
        <v>430000</v>
      </c>
      <c r="V16" s="120"/>
      <c r="W16" s="3" t="s">
        <v>12</v>
      </c>
      <c r="X16" s="3" t="s">
        <v>67</v>
      </c>
      <c r="Y16" s="3" t="s">
        <v>13</v>
      </c>
      <c r="Z16" s="3" t="s">
        <v>106</v>
      </c>
      <c r="AA16" s="189" t="s">
        <v>65</v>
      </c>
    </row>
    <row r="17" spans="1:27" ht="20.100000000000001" customHeight="1" x14ac:dyDescent="0.15">
      <c r="A17" s="153">
        <f>EOMONTH($D$3,4)</f>
        <v>46173</v>
      </c>
      <c r="B17" s="156" t="str">
        <f t="shared" ref="B17:B27" si="29">IFERROR(DATEDIF(C$5,$A17,"Y"),"")</f>
        <v/>
      </c>
      <c r="C17" s="156" t="str">
        <f t="shared" ref="C17:C27" si="30">IFERROR(DATEDIF(C$6,$A17,"Y"),"")</f>
        <v/>
      </c>
      <c r="D17" s="156" t="str">
        <f t="shared" ref="D17:D27" si="31">IFERROR(DATEDIF(C$7,$A17,"Y"),"")</f>
        <v/>
      </c>
      <c r="E17" s="156" t="str">
        <f t="shared" ref="E17:E27" si="32">IFERROR(DATEDIF(C$8,$A17,"Y"),"")</f>
        <v/>
      </c>
      <c r="F17" s="156" t="str">
        <f t="shared" ref="F17:F27" si="33">IFERROR(DATEDIF(C$9,$A17,"Y"),"")</f>
        <v/>
      </c>
      <c r="G17" s="156" t="str">
        <f t="shared" ref="G17:G27" si="34">IFERROR(DATEDIF(C$10,$A17,"Y"),"")</f>
        <v/>
      </c>
      <c r="H17" s="156" t="str">
        <f t="shared" si="28"/>
        <v/>
      </c>
      <c r="I17" s="199"/>
      <c r="K17" s="1"/>
      <c r="L17" s="1"/>
      <c r="M17" s="1"/>
      <c r="N17" s="16" t="s">
        <v>40</v>
      </c>
      <c r="O17" s="23">
        <v>100000</v>
      </c>
      <c r="P17" s="27" t="s">
        <v>46</v>
      </c>
      <c r="Q17" s="17">
        <f>100000*(MAX($Q$12-1,))</f>
        <v>0</v>
      </c>
      <c r="R17" s="17">
        <f>100000*(MAX($Q$12-1,))</f>
        <v>0</v>
      </c>
      <c r="S17" s="17">
        <f>100000*(MAX($Q$12-1,))</f>
        <v>0</v>
      </c>
      <c r="V17" s="120" t="s">
        <v>14</v>
      </c>
      <c r="W17" s="63">
        <v>8.5999999999999993E-2</v>
      </c>
      <c r="X17" s="63">
        <v>2.5899999999999999E-2</v>
      </c>
      <c r="Y17" s="63">
        <v>2.81E-2</v>
      </c>
      <c r="Z17" s="63">
        <v>3.5000000000000001E-3</v>
      </c>
      <c r="AA17" s="121"/>
    </row>
    <row r="18" spans="1:27" ht="20.100000000000001" customHeight="1" x14ac:dyDescent="0.15">
      <c r="A18" s="153">
        <f>EOMONTH($D$3,5)</f>
        <v>46203</v>
      </c>
      <c r="B18" s="156" t="str">
        <f t="shared" si="29"/>
        <v/>
      </c>
      <c r="C18" s="156" t="str">
        <f t="shared" si="30"/>
        <v/>
      </c>
      <c r="D18" s="156" t="str">
        <f t="shared" si="31"/>
        <v/>
      </c>
      <c r="E18" s="156" t="str">
        <f t="shared" si="32"/>
        <v/>
      </c>
      <c r="F18" s="156" t="str">
        <f t="shared" si="33"/>
        <v/>
      </c>
      <c r="G18" s="156" t="str">
        <f t="shared" si="34"/>
        <v/>
      </c>
      <c r="H18" s="156" t="str">
        <f t="shared" si="28"/>
        <v/>
      </c>
      <c r="I18" s="199"/>
      <c r="K18" s="1"/>
      <c r="L18" s="1"/>
      <c r="M18" s="1"/>
      <c r="N18" s="16" t="s">
        <v>41</v>
      </c>
      <c r="O18" s="23">
        <v>310000</v>
      </c>
      <c r="P18" s="27" t="s">
        <v>84</v>
      </c>
      <c r="Q18" s="18"/>
      <c r="R18" s="17">
        <f>$O$18*$O$12</f>
        <v>0</v>
      </c>
      <c r="S18" s="18"/>
      <c r="V18" s="122" t="s">
        <v>78</v>
      </c>
      <c r="W18" s="64">
        <v>32000</v>
      </c>
      <c r="X18" s="64">
        <v>10000</v>
      </c>
      <c r="Y18" s="64">
        <v>12000</v>
      </c>
      <c r="Z18" s="19">
        <v>1300</v>
      </c>
      <c r="AA18" s="121"/>
    </row>
    <row r="19" spans="1:27" ht="20.100000000000001" customHeight="1" thickBot="1" x14ac:dyDescent="0.2">
      <c r="A19" s="153">
        <f>EOMONTH($D$3,6)</f>
        <v>46234</v>
      </c>
      <c r="B19" s="156" t="str">
        <f t="shared" si="29"/>
        <v/>
      </c>
      <c r="C19" s="156" t="str">
        <f t="shared" si="30"/>
        <v/>
      </c>
      <c r="D19" s="156" t="str">
        <f t="shared" si="31"/>
        <v/>
      </c>
      <c r="E19" s="156" t="str">
        <f t="shared" si="32"/>
        <v/>
      </c>
      <c r="F19" s="156" t="str">
        <f t="shared" si="33"/>
        <v/>
      </c>
      <c r="G19" s="156" t="str">
        <f t="shared" si="34"/>
        <v/>
      </c>
      <c r="H19" s="156" t="str">
        <f t="shared" si="28"/>
        <v/>
      </c>
      <c r="I19" s="199"/>
      <c r="K19" s="1"/>
      <c r="L19" s="1"/>
      <c r="M19" s="1"/>
      <c r="N19" s="16" t="s">
        <v>42</v>
      </c>
      <c r="O19" s="23">
        <v>570000</v>
      </c>
      <c r="P19" s="27" t="s">
        <v>84</v>
      </c>
      <c r="Q19" s="18"/>
      <c r="R19" s="18"/>
      <c r="S19" s="19">
        <f>$O$19*$O$12</f>
        <v>0</v>
      </c>
      <c r="V19" s="123" t="s">
        <v>56</v>
      </c>
      <c r="W19" s="65">
        <f t="shared" ref="W19:Z21" si="35">W$18*$AA19</f>
        <v>25600</v>
      </c>
      <c r="X19" s="65">
        <f t="shared" si="35"/>
        <v>8000</v>
      </c>
      <c r="Y19" s="65">
        <f t="shared" si="35"/>
        <v>9600</v>
      </c>
      <c r="Z19" s="65">
        <f t="shared" si="35"/>
        <v>1040</v>
      </c>
      <c r="AA19" s="190">
        <v>0.8</v>
      </c>
    </row>
    <row r="20" spans="1:27" ht="20.100000000000001" customHeight="1" thickBot="1" x14ac:dyDescent="0.2">
      <c r="A20" s="153">
        <f>EOMONTH($D$3,7)</f>
        <v>46265</v>
      </c>
      <c r="B20" s="156" t="str">
        <f t="shared" si="29"/>
        <v/>
      </c>
      <c r="C20" s="156" t="str">
        <f t="shared" si="30"/>
        <v/>
      </c>
      <c r="D20" s="156" t="str">
        <f t="shared" si="31"/>
        <v/>
      </c>
      <c r="E20" s="156" t="str">
        <f t="shared" si="32"/>
        <v/>
      </c>
      <c r="F20" s="156" t="str">
        <f t="shared" si="33"/>
        <v/>
      </c>
      <c r="G20" s="156" t="str">
        <f t="shared" si="34"/>
        <v/>
      </c>
      <c r="H20" s="156" t="str">
        <f t="shared" si="28"/>
        <v/>
      </c>
      <c r="I20" s="199"/>
      <c r="K20" s="1"/>
      <c r="L20" s="1"/>
      <c r="M20" s="1"/>
      <c r="O20" s="18"/>
      <c r="Q20" s="20">
        <f>SUM(Q16:Q19)</f>
        <v>430000</v>
      </c>
      <c r="R20" s="21">
        <f>SUM(R16:R19)</f>
        <v>430000</v>
      </c>
      <c r="S20" s="22">
        <f>SUM(S16:S19)</f>
        <v>430000</v>
      </c>
      <c r="V20" s="123" t="s">
        <v>57</v>
      </c>
      <c r="W20" s="65">
        <f t="shared" si="35"/>
        <v>16000</v>
      </c>
      <c r="X20" s="65">
        <f t="shared" si="35"/>
        <v>5000</v>
      </c>
      <c r="Y20" s="65">
        <f t="shared" si="35"/>
        <v>6000</v>
      </c>
      <c r="Z20" s="65">
        <f t="shared" si="35"/>
        <v>650</v>
      </c>
      <c r="AA20" s="191">
        <v>0.5</v>
      </c>
    </row>
    <row r="21" spans="1:27" ht="20.100000000000001" customHeight="1" thickBot="1" x14ac:dyDescent="0.2">
      <c r="A21" s="153">
        <f>EOMONTH($D$3,8)</f>
        <v>46295</v>
      </c>
      <c r="B21" s="156" t="str">
        <f t="shared" si="29"/>
        <v/>
      </c>
      <c r="C21" s="156" t="str">
        <f t="shared" si="30"/>
        <v/>
      </c>
      <c r="D21" s="156" t="str">
        <f t="shared" si="31"/>
        <v/>
      </c>
      <c r="E21" s="156" t="str">
        <f t="shared" si="32"/>
        <v/>
      </c>
      <c r="F21" s="156" t="str">
        <f t="shared" si="33"/>
        <v/>
      </c>
      <c r="G21" s="156" t="str">
        <f t="shared" si="34"/>
        <v/>
      </c>
      <c r="H21" s="156" t="str">
        <f t="shared" si="28"/>
        <v/>
      </c>
      <c r="I21" s="199"/>
      <c r="K21" s="1"/>
      <c r="L21" s="1"/>
      <c r="M21" s="1"/>
      <c r="N21" s="149" t="s">
        <v>44</v>
      </c>
      <c r="O21" s="32">
        <f>$S$12</f>
        <v>0</v>
      </c>
      <c r="Q21" s="49" t="str">
        <f>IF($O$21&lt;=Q$20,"〇","-")</f>
        <v>〇</v>
      </c>
      <c r="R21" s="50" t="str">
        <f>IF(Q$21="〇","-",IF($O$21&lt;=R$20,"〇","-"))</f>
        <v>-</v>
      </c>
      <c r="S21" s="50" t="str">
        <f>IF(Q$21="〇","-",IF(R$21="〇","-",IF($O$21&lt;=S$20,"〇","-")))</f>
        <v>-</v>
      </c>
      <c r="V21" s="124" t="s">
        <v>58</v>
      </c>
      <c r="W21" s="65">
        <f t="shared" si="35"/>
        <v>9600</v>
      </c>
      <c r="X21" s="65">
        <f t="shared" si="35"/>
        <v>3000</v>
      </c>
      <c r="Y21" s="65">
        <f t="shared" si="35"/>
        <v>3600</v>
      </c>
      <c r="Z21" s="65">
        <f t="shared" si="35"/>
        <v>390</v>
      </c>
      <c r="AA21" s="192">
        <v>0.3</v>
      </c>
    </row>
    <row r="22" spans="1:27" ht="20.100000000000001" customHeight="1" thickBot="1" x14ac:dyDescent="0.2">
      <c r="A22" s="153">
        <f>EOMONTH($D$3,9)</f>
        <v>46326</v>
      </c>
      <c r="B22" s="156" t="str">
        <f t="shared" si="29"/>
        <v/>
      </c>
      <c r="C22" s="156" t="str">
        <f t="shared" si="30"/>
        <v/>
      </c>
      <c r="D22" s="156" t="str">
        <f t="shared" si="31"/>
        <v/>
      </c>
      <c r="E22" s="156" t="str">
        <f t="shared" si="32"/>
        <v/>
      </c>
      <c r="F22" s="156" t="str">
        <f t="shared" si="33"/>
        <v/>
      </c>
      <c r="G22" s="156" t="str">
        <f t="shared" si="34"/>
        <v/>
      </c>
      <c r="H22" s="156" t="str">
        <f t="shared" si="28"/>
        <v/>
      </c>
      <c r="I22" s="199"/>
      <c r="K22" s="1"/>
      <c r="L22" s="1"/>
      <c r="M22" s="1"/>
      <c r="O22" s="18"/>
      <c r="Q22" s="219" t="str">
        <f>IF($Q$21="〇","７割軽減",IF($R$21="〇","５割軽減",IF($S$21="〇","２割軽減","軽減なし")))</f>
        <v>７割軽減</v>
      </c>
      <c r="R22" s="220"/>
      <c r="S22" s="221"/>
      <c r="V22" s="122" t="s">
        <v>79</v>
      </c>
      <c r="W22" s="64">
        <v>20100</v>
      </c>
      <c r="X22" s="64">
        <v>6100</v>
      </c>
      <c r="Y22" s="64">
        <v>5800</v>
      </c>
      <c r="Z22" s="19">
        <v>800</v>
      </c>
      <c r="AA22" s="121"/>
    </row>
    <row r="23" spans="1:27" ht="20.100000000000001" customHeight="1" x14ac:dyDescent="0.15">
      <c r="A23" s="153">
        <f>EOMONTH($D$3,10)</f>
        <v>46356</v>
      </c>
      <c r="B23" s="156" t="str">
        <f t="shared" si="29"/>
        <v/>
      </c>
      <c r="C23" s="156" t="str">
        <f t="shared" si="30"/>
        <v/>
      </c>
      <c r="D23" s="156" t="str">
        <f t="shared" si="31"/>
        <v/>
      </c>
      <c r="E23" s="156" t="str">
        <f t="shared" si="32"/>
        <v/>
      </c>
      <c r="F23" s="156" t="str">
        <f t="shared" si="33"/>
        <v/>
      </c>
      <c r="G23" s="156" t="str">
        <f t="shared" si="34"/>
        <v/>
      </c>
      <c r="H23" s="156" t="str">
        <f t="shared" si="28"/>
        <v/>
      </c>
      <c r="I23" s="199"/>
      <c r="V23" s="123" t="s">
        <v>59</v>
      </c>
      <c r="W23" s="65">
        <f t="shared" ref="W23:Z25" si="36">W$22*$AA23</f>
        <v>16080</v>
      </c>
      <c r="X23" s="65">
        <f t="shared" si="36"/>
        <v>4880</v>
      </c>
      <c r="Y23" s="65">
        <f t="shared" si="36"/>
        <v>4640</v>
      </c>
      <c r="Z23" s="65">
        <f t="shared" si="36"/>
        <v>640</v>
      </c>
      <c r="AA23" s="190">
        <v>0.8</v>
      </c>
    </row>
    <row r="24" spans="1:27" ht="20.100000000000001" customHeight="1" x14ac:dyDescent="0.15">
      <c r="A24" s="153">
        <f>EOMONTH($D$3,11)</f>
        <v>46387</v>
      </c>
      <c r="B24" s="156" t="str">
        <f t="shared" si="29"/>
        <v/>
      </c>
      <c r="C24" s="156" t="str">
        <f t="shared" si="30"/>
        <v/>
      </c>
      <c r="D24" s="156" t="str">
        <f t="shared" si="31"/>
        <v/>
      </c>
      <c r="E24" s="156" t="str">
        <f t="shared" si="32"/>
        <v/>
      </c>
      <c r="F24" s="156" t="str">
        <f t="shared" si="33"/>
        <v/>
      </c>
      <c r="G24" s="156" t="str">
        <f t="shared" si="34"/>
        <v/>
      </c>
      <c r="H24" s="156" t="str">
        <f t="shared" si="28"/>
        <v/>
      </c>
      <c r="I24" s="199"/>
      <c r="V24" s="123" t="s">
        <v>60</v>
      </c>
      <c r="W24" s="65">
        <f t="shared" si="36"/>
        <v>10050</v>
      </c>
      <c r="X24" s="65">
        <f t="shared" si="36"/>
        <v>3050</v>
      </c>
      <c r="Y24" s="65">
        <f t="shared" si="36"/>
        <v>2900</v>
      </c>
      <c r="Z24" s="65">
        <f t="shared" si="36"/>
        <v>400</v>
      </c>
      <c r="AA24" s="191">
        <v>0.5</v>
      </c>
    </row>
    <row r="25" spans="1:27" ht="20.100000000000001" customHeight="1" x14ac:dyDescent="0.15">
      <c r="A25" s="153">
        <f>EOMONTH($D$3,12)</f>
        <v>46418</v>
      </c>
      <c r="B25" s="156" t="str">
        <f t="shared" si="29"/>
        <v/>
      </c>
      <c r="C25" s="156" t="str">
        <f>IFERROR(DATEDIF(C$6,$A25,"Y"),"")</f>
        <v/>
      </c>
      <c r="D25" s="156" t="str">
        <f t="shared" si="31"/>
        <v/>
      </c>
      <c r="E25" s="156" t="str">
        <f t="shared" si="32"/>
        <v/>
      </c>
      <c r="F25" s="156" t="str">
        <f t="shared" si="33"/>
        <v/>
      </c>
      <c r="G25" s="156" t="str">
        <f t="shared" si="34"/>
        <v/>
      </c>
      <c r="H25" s="156" t="str">
        <f t="shared" si="28"/>
        <v/>
      </c>
      <c r="I25" s="199"/>
      <c r="V25" s="124" t="s">
        <v>61</v>
      </c>
      <c r="W25" s="66">
        <f t="shared" si="36"/>
        <v>6030</v>
      </c>
      <c r="X25" s="66">
        <f t="shared" si="36"/>
        <v>1830</v>
      </c>
      <c r="Y25" s="66">
        <f t="shared" si="36"/>
        <v>1740</v>
      </c>
      <c r="Z25" s="66">
        <f t="shared" si="36"/>
        <v>240</v>
      </c>
      <c r="AA25" s="192">
        <v>0.3</v>
      </c>
    </row>
    <row r="26" spans="1:27" ht="20.100000000000001" customHeight="1" thickBot="1" x14ac:dyDescent="0.2">
      <c r="A26" s="153">
        <f>EOMONTH($D$3,13)</f>
        <v>46446</v>
      </c>
      <c r="B26" s="156" t="str">
        <f t="shared" si="29"/>
        <v/>
      </c>
      <c r="C26" s="156" t="str">
        <f>IFERROR(DATEDIF(C$6,$A26,"Y"),"")</f>
        <v/>
      </c>
      <c r="D26" s="156" t="str">
        <f t="shared" si="31"/>
        <v/>
      </c>
      <c r="E26" s="156" t="str">
        <f t="shared" si="32"/>
        <v/>
      </c>
      <c r="F26" s="156" t="str">
        <f t="shared" si="33"/>
        <v/>
      </c>
      <c r="G26" s="156" t="str">
        <f t="shared" si="34"/>
        <v/>
      </c>
      <c r="H26" s="156" t="str">
        <f t="shared" si="28"/>
        <v/>
      </c>
      <c r="I26" s="199"/>
      <c r="V26" s="125" t="s">
        <v>17</v>
      </c>
      <c r="W26" s="126">
        <v>670000</v>
      </c>
      <c r="X26" s="126">
        <v>260000</v>
      </c>
      <c r="Y26" s="126">
        <v>170000</v>
      </c>
      <c r="Z26" s="126">
        <v>30000</v>
      </c>
      <c r="AA26" s="127"/>
    </row>
    <row r="27" spans="1:27" ht="20.100000000000001" customHeight="1" x14ac:dyDescent="0.15">
      <c r="A27" s="153">
        <f>EOMONTH($D$3,14)</f>
        <v>46477</v>
      </c>
      <c r="B27" s="156" t="str">
        <f t="shared" si="29"/>
        <v/>
      </c>
      <c r="C27" s="156" t="str">
        <f t="shared" si="30"/>
        <v/>
      </c>
      <c r="D27" s="156" t="str">
        <f t="shared" si="31"/>
        <v/>
      </c>
      <c r="E27" s="156" t="str">
        <f t="shared" si="32"/>
        <v/>
      </c>
      <c r="F27" s="156" t="str">
        <f t="shared" si="33"/>
        <v/>
      </c>
      <c r="G27" s="156" t="str">
        <f t="shared" si="34"/>
        <v/>
      </c>
      <c r="H27" s="156" t="str">
        <f t="shared" si="28"/>
        <v/>
      </c>
      <c r="I27" s="199"/>
    </row>
    <row r="28" spans="1:27" ht="20.100000000000001" customHeight="1" x14ac:dyDescent="0.15">
      <c r="A28" s="154"/>
      <c r="B28" s="18"/>
    </row>
    <row r="29" spans="1:27" ht="20.100000000000001" customHeight="1" x14ac:dyDescent="0.15">
      <c r="A29" s="154"/>
    </row>
  </sheetData>
  <mergeCells count="5">
    <mergeCell ref="AJ2:AM2"/>
    <mergeCell ref="J3:L3"/>
    <mergeCell ref="A3:C3"/>
    <mergeCell ref="Q22:S22"/>
    <mergeCell ref="AE2:AH2"/>
  </mergeCells>
  <phoneticPr fontId="5"/>
  <conditionalFormatting sqref="Q21:S21">
    <cfRule type="cellIs" dxfId="0" priority="1" operator="equal">
      <formula>"〇"</formula>
    </cfRule>
  </conditionalFormatting>
  <dataValidations count="3">
    <dataValidation type="list" allowBlank="1" showInputMessage="1" showErrorMessage="1" sqref="B12:B14">
      <formula1>"被保険者,その他健康保険"</formula1>
    </dataValidation>
    <dataValidation imeMode="off" allowBlank="1" showInputMessage="1" showErrorMessage="1" sqref="K23:M1048576 G1:I2 R15:S21 F1 P17:P22 Q15:Q22 J1:M14 C1:E2 C4:I14 C28:J1048576"/>
    <dataValidation type="list" allowBlank="1" showInputMessage="1" sqref="B5:B11">
      <formula1>"被保険者,その他健康保険"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D4"/>
  <sheetViews>
    <sheetView workbookViewId="0">
      <selection activeCell="O17" sqref="O17"/>
    </sheetView>
  </sheetViews>
  <sheetFormatPr defaultColWidth="8.875" defaultRowHeight="13.5" x14ac:dyDescent="0.15"/>
  <cols>
    <col min="4" max="4" width="13.375" customWidth="1"/>
  </cols>
  <sheetData>
    <row r="1" spans="2:4" x14ac:dyDescent="0.15">
      <c r="B1" t="s">
        <v>0</v>
      </c>
      <c r="D1" t="s">
        <v>8</v>
      </c>
    </row>
    <row r="2" spans="2:4" x14ac:dyDescent="0.15">
      <c r="B2" t="s">
        <v>0</v>
      </c>
      <c r="D2" t="s">
        <v>9</v>
      </c>
    </row>
    <row r="3" spans="2:4" x14ac:dyDescent="0.15">
      <c r="B3" t="s">
        <v>7</v>
      </c>
      <c r="D3" t="s">
        <v>10</v>
      </c>
    </row>
    <row r="4" spans="2:4" x14ac:dyDescent="0.15">
      <c r="D4" t="s">
        <v>11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保険料</vt:lpstr>
      <vt:lpstr>計算過程</vt:lpstr>
      <vt:lpstr>コンボシート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大江 伸哉</dc:creator>
  <cp:lastModifiedBy>fukadmin</cp:lastModifiedBy>
  <cp:lastPrinted>2023-04-10T08:37:46Z</cp:lastPrinted>
  <dcterms:created xsi:type="dcterms:W3CDTF">2022-09-01T07:46:48Z</dcterms:created>
  <dcterms:modified xsi:type="dcterms:W3CDTF">2026-05-28T06:10:37Z</dcterms:modified>
</cp:coreProperties>
</file>